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Ex1.xml" ContentType="application/vnd.ms-office.chartex+xml"/>
  <Override PartName="/xl/charts/style1.xml" ContentType="application/vnd.ms-office.chartstyle+xml"/>
  <Override PartName="/xl/charts/colors1.xml" ContentType="application/vnd.ms-office.chartcolorstyle+xml"/>
  <Override PartName="/xl/drawings/drawing4.xml" ContentType="application/vnd.openxmlformats-officedocument.drawing+xml"/>
  <Override PartName="/xl/charts/chartEx2.xml" ContentType="application/vnd.ms-office.chartex+xml"/>
  <Override PartName="/xl/charts/style2.xml" ContentType="application/vnd.ms-office.chartstyle+xml"/>
  <Override PartName="/xl/charts/colors2.xml" ContentType="application/vnd.ms-office.chartcolorstyle+xml"/>
  <Override PartName="/xl/drawings/drawing5.xml" ContentType="application/vnd.openxmlformats-officedocument.drawing+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defaultThemeVersion="166925"/>
  <mc:AlternateContent xmlns:mc="http://schemas.openxmlformats.org/markup-compatibility/2006">
    <mc:Choice Requires="x15">
      <x15ac:absPath xmlns:x15ac="http://schemas.microsoft.com/office/spreadsheetml/2010/11/ac" url="C:\Users\NicoleBellows\Dropbox (Avenir Health)\Avenir Shared Drive\Projects\B-R\Pricing tool\"/>
    </mc:Choice>
  </mc:AlternateContent>
  <xr:revisionPtr revIDLastSave="0" documentId="13_ncr:1_{E8B27B28-7630-413D-AF7E-D3C3A52E5240}" xr6:coauthVersionLast="47" xr6:coauthVersionMax="47" xr10:uidLastSave="{00000000-0000-0000-0000-000000000000}"/>
  <workbookProtection workbookAlgorithmName="SHA-512" workbookHashValue="O7fKxNEXWypxxFKYJ9EAkCRHpySSJUFj1wPfAZp/4GBWeNVJdWODvHS/6VaROznA+jJfMXdmOK3DPhvgQz77Hw==" workbookSaltValue="gQcqW4zpzgIcNArhRb3u5g==" workbookSpinCount="100000" lockStructure="1"/>
  <bookViews>
    <workbookView xWindow="-110" yWindow="-110" windowWidth="19420" windowHeight="10420" xr2:uid="{71CF4890-DCFA-4CA2-BB84-69B6F17A6BD3}"/>
  </bookViews>
  <sheets>
    <sheet name="Cover" sheetId="44" r:id="rId1"/>
    <sheet name="Guide" sheetId="43" r:id="rId2"/>
    <sheet name="Estimate reach" sheetId="41" r:id="rId3"/>
    <sheet name="Estimate budget" sheetId="46" r:id="rId4"/>
    <sheet name="Review" sheetId="45" r:id="rId5"/>
    <sheet name="ranges" sheetId="42" state="hidden" r:id="rId6"/>
    <sheet name="Median costs" sheetId="2" state="hidden" r:id="rId7"/>
    <sheet name="dataset" sheetId="1" state="hidden" r:id="rId8"/>
    <sheet name="country list" sheetId="5" state="hidden" r:id="rId9"/>
  </sheets>
  <definedNames>
    <definedName name="_xlnm._FilterDatabase" localSheetId="8" hidden="1">'country list'!$A$1:$F$140</definedName>
    <definedName name="_xlnm._FilterDatabase" localSheetId="7" hidden="1">dataset!$A$1:$V$162</definedName>
    <definedName name="_xlchart.v1.0" hidden="1">'Estimate reach'!$B$21:$B$25</definedName>
    <definedName name="_xlchart.v1.1" hidden="1">'Estimate budget'!$B$21:$B$25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J24" i="46" l="1"/>
  <c r="AI24" i="46"/>
  <c r="AK24" i="46"/>
  <c r="B27" i="46"/>
  <c r="AH24" i="46"/>
  <c r="C13" i="46"/>
  <c r="B11" i="46"/>
  <c r="E11" i="46" s="1" a="1"/>
  <c r="E11" i="46" s="1"/>
  <c r="E10" i="46" a="1"/>
  <c r="E10" i="46" s="1"/>
  <c r="AH9" i="46"/>
  <c r="AG9" i="46"/>
  <c r="E9" i="46" a="1"/>
  <c r="E9" i="46" s="1"/>
  <c r="E8" i="46" a="1"/>
  <c r="E8" i="46" s="1"/>
  <c r="E7" i="46" a="1"/>
  <c r="E7" i="46" s="1"/>
  <c r="E6" i="46"/>
  <c r="E5" i="46"/>
  <c r="E12" i="46" s="1"/>
  <c r="AG9" i="41"/>
  <c r="AH9" i="41"/>
  <c r="E12" i="42"/>
  <c r="D12" i="42"/>
  <c r="E7" i="42"/>
  <c r="D7" i="42"/>
  <c r="AJ24" i="41"/>
  <c r="AK24" i="41"/>
  <c r="AI24" i="41"/>
  <c r="AH24" i="41"/>
  <c r="B13" i="46" l="1"/>
  <c r="D11" i="42"/>
  <c r="E11" i="42"/>
  <c r="E10" i="42"/>
  <c r="D10" i="42"/>
  <c r="D9" i="42"/>
  <c r="E9" i="42"/>
  <c r="D8" i="42"/>
  <c r="E6" i="42"/>
  <c r="D6" i="42"/>
  <c r="D5" i="42"/>
  <c r="E5" i="42"/>
  <c r="E4" i="42"/>
  <c r="D4" i="42"/>
  <c r="D3" i="42"/>
  <c r="E3" i="42"/>
  <c r="B27" i="41"/>
  <c r="C13" i="41"/>
  <c r="B11" i="41"/>
  <c r="E11" i="41" s="1" a="1"/>
  <c r="E11" i="41" s="1"/>
  <c r="E10" i="41" a="1"/>
  <c r="E10" i="41" s="1"/>
  <c r="E9" i="41" a="1"/>
  <c r="E9" i="41" s="1"/>
  <c r="E8" i="41" a="1"/>
  <c r="E8" i="41" s="1"/>
  <c r="E7" i="41" a="1"/>
  <c r="E7" i="41" s="1"/>
  <c r="E6" i="41"/>
  <c r="E5" i="41"/>
  <c r="E12" i="41" s="1"/>
  <c r="B29" i="2"/>
  <c r="E28" i="2"/>
  <c r="D28" i="2"/>
  <c r="C28" i="2"/>
  <c r="B28" i="2"/>
  <c r="B26" i="2"/>
  <c r="B25" i="2"/>
  <c r="E23" i="2"/>
  <c r="D23" i="2"/>
  <c r="C23" i="2"/>
  <c r="B24" i="2"/>
  <c r="B23" i="2"/>
  <c r="G7" i="2" a="1"/>
  <c r="G7" i="2" s="1"/>
  <c r="F7" i="2" a="1"/>
  <c r="F7" i="2" s="1"/>
  <c r="E7" i="2" a="1"/>
  <c r="E7" i="2" s="1"/>
  <c r="H7" i="2" s="1"/>
  <c r="B21" i="2"/>
  <c r="B20" i="2"/>
  <c r="B19" i="2"/>
  <c r="B18" i="2"/>
  <c r="B17" i="2"/>
  <c r="B16" i="2"/>
  <c r="B15" i="2"/>
  <c r="B22" i="46" l="1"/>
  <c r="B25" i="46"/>
  <c r="AH6" i="46" s="1"/>
  <c r="AK9" i="46" s="1"/>
  <c r="B21" i="46"/>
  <c r="AH5" i="46" s="1"/>
  <c r="AJ9" i="46" s="1"/>
  <c r="B24" i="46"/>
  <c r="B23" i="46"/>
  <c r="AH4" i="46" s="1"/>
  <c r="AI9" i="46" s="1"/>
  <c r="B13" i="41"/>
  <c r="E20" i="2"/>
  <c r="B25" i="41" l="1"/>
  <c r="AH6" i="41" s="1"/>
  <c r="B22" i="41"/>
  <c r="B24" i="41"/>
  <c r="B21" i="41"/>
  <c r="AH5" i="41" s="1"/>
  <c r="B23" i="41"/>
  <c r="AH4" i="41" s="1"/>
  <c r="AJ9" i="41" l="1"/>
  <c r="AI9" i="41"/>
  <c r="AK9" i="41"/>
  <c r="G5" i="2" a="1"/>
  <c r="G5" i="2" s="1"/>
  <c r="F5" i="2" a="1"/>
  <c r="F5" i="2" s="1"/>
  <c r="E5" i="2" a="1"/>
  <c r="E5" i="2" s="1"/>
  <c r="G12" i="2" a="1"/>
  <c r="G12" i="2" s="1"/>
  <c r="F12" i="2" a="1"/>
  <c r="F12" i="2" s="1"/>
  <c r="G11" i="2" a="1"/>
  <c r="G11" i="2" s="1"/>
  <c r="F11" i="2" a="1"/>
  <c r="F11" i="2" s="1"/>
  <c r="G10" i="2" a="1"/>
  <c r="G10" i="2" s="1"/>
  <c r="F10" i="2" a="1"/>
  <c r="F10" i="2" s="1"/>
  <c r="G9" i="2" a="1"/>
  <c r="G9" i="2" s="1"/>
  <c r="F9" i="2" a="1"/>
  <c r="F9" i="2" s="1"/>
  <c r="G8" i="2" a="1"/>
  <c r="G8" i="2" s="1"/>
  <c r="F8" i="2" a="1"/>
  <c r="F8" i="2" s="1"/>
  <c r="G6" i="2" a="1"/>
  <c r="G6" i="2" s="1"/>
  <c r="F6" i="2" a="1"/>
  <c r="F6" i="2" s="1"/>
  <c r="G4" i="2" a="1"/>
  <c r="G4" i="2" s="1"/>
  <c r="F4" i="2" a="1"/>
  <c r="F4" i="2" s="1"/>
  <c r="G3" i="2" a="1"/>
  <c r="G3" i="2" s="1"/>
  <c r="F3" i="2" a="1"/>
  <c r="F3" i="2" s="1"/>
  <c r="H5" i="2" l="1"/>
  <c r="E18" i="2"/>
  <c r="E8" i="2" a="1"/>
  <c r="E8" i="2" s="1"/>
  <c r="E12" i="2" a="1"/>
  <c r="E12" i="2" s="1"/>
  <c r="E11" i="2" a="1"/>
  <c r="E11" i="2" s="1"/>
  <c r="E10" i="2" a="1"/>
  <c r="E10" i="2" s="1"/>
  <c r="E9" i="2" a="1"/>
  <c r="E9" i="2" s="1"/>
  <c r="E6" i="2" a="1"/>
  <c r="E6" i="2" s="1"/>
  <c r="E4" i="2" a="1"/>
  <c r="E4" i="2" s="1"/>
  <c r="E3" i="2" a="1"/>
  <c r="E3" i="2" s="1"/>
  <c r="H12" i="2" l="1"/>
  <c r="E29" i="2"/>
  <c r="E21" i="2"/>
  <c r="H8" i="2"/>
  <c r="H3" i="2"/>
  <c r="E16" i="2"/>
  <c r="E26" i="2"/>
  <c r="H11" i="2"/>
  <c r="H4" i="2"/>
  <c r="E17" i="2"/>
  <c r="E25" i="2"/>
  <c r="H10" i="2"/>
  <c r="H6" i="2"/>
  <c r="E19" i="2"/>
  <c r="E24" i="2"/>
  <c r="H9" i="2"/>
  <c r="U4" i="1"/>
  <c r="U103" i="1"/>
  <c r="U109" i="1"/>
  <c r="U104" i="1"/>
  <c r="O52"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tc={7870CDDF-9C61-4208-98B9-1E6CF128188B}</author>
    <author>tc={18B88D55-65F4-4A03-AFFD-93B238FF1898}</author>
    <author>tc={B3C20B2C-A9C6-4C29-992D-F66B5ABCDF21}</author>
    <author>tc={EE3EF89F-F600-4FD1-B05F-B0A26C62A42C}</author>
    <author>tc={212787A2-C27A-485B-A066-EBB2961A6565}</author>
    <author>tc={CC17CBB7-0842-4CCE-A8B7-A640B1CA59E4}</author>
    <author>tc={3D2F31C4-9C76-458C-9DF6-E43C132404CE}</author>
    <author>tc={D7B2E8A4-76EB-42B7-87CE-B9CACCA566D0}</author>
    <author>tc={11D80C00-A2D6-4F0B-8E13-266206F28896}</author>
    <author>tc={3F4E202D-7CCD-4D54-A7A4-1D28254439A0}</author>
    <author>tc={3D2AC3CD-B776-4E46-AFC8-846B5C815FB7}</author>
    <author>tc={A442BCE4-5B2B-4AA3-ADA6-D131F11E48BD}</author>
    <author>tc={A4689125-3BA6-4944-AE7C-77A54A6459DC}</author>
    <author>tc={16FC893E-CC4B-4429-98AB-04C68920CFB6}</author>
    <author>tc={6495B4B1-AFC0-452D-9D44-EB9026EB4115}</author>
    <author>tc={28AEF4D8-BDEA-4BB4-A0EE-21FE9D6E9AFB}</author>
    <author>tc={43F0490E-6969-4DD5-ADBF-E721DC4C7A5B}</author>
    <author>tc={C8B2D531-E0FE-4B91-B777-7D360582229D}</author>
    <author>tc={9C30BB0F-A48E-41D7-91EC-EDDBD667764C}</author>
    <author>tc={796E8811-00FC-46C3-B78E-350BB0188CAE}</author>
    <author>tc={1C5CADFD-040C-46C5-BFB1-C8244461962C}</author>
    <author>tc={9D7175B7-1781-44F7-BD66-0C0DC3AF8484}</author>
    <author>tc={CC4851E3-392D-431B-8B2A-5FC9F675A0AE}</author>
    <author>tc={1CB1D13B-C073-4D4F-A5A2-6CED63276259}</author>
    <author>tc={3989A256-74D4-4ED4-9ABC-7AB690528E71}</author>
    <author>tc={A2CE8064-4F64-4933-8729-726D41BA2F10}</author>
  </authors>
  <commentList>
    <comment ref="Q4" authorId="0" shapeId="0" xr:uid="{7870CDDF-9C61-4208-98B9-1E6CF128188B}">
      <text>
        <t>[Threaded comment]
Your version of Excel allows you to read this threaded comment; however, any edits to it will get removed if the file is opened in a newer version of Excel. Learn more: https://go.microsoft.com/fwlink/?linkid=870924
Comment:
    Total implementation 4 years, but since school intervention assuming individual is 9 months?</t>
      </text>
    </comment>
    <comment ref="Q5" authorId="1" shapeId="0" xr:uid="{18B88D55-65F4-4A03-AFFD-93B238FF1898}">
      <text>
        <t>[Threaded comment]
Your version of Excel allows you to read this threaded comment; however, any edits to it will get removed if the file is opened in a newer version of Excel. Learn more: https://go.microsoft.com/fwlink/?linkid=870924
Comment:
    There were two rounds, the first lasting 12 months and the second lasting 6 months.</t>
      </text>
    </comment>
    <comment ref="Q7" authorId="2" shapeId="0" xr:uid="{B3C20B2C-A9C6-4C29-992D-F66B5ABCDF21}">
      <text>
        <t>[Threaded comment]
Your version of Excel allows you to read this threaded comment; however, any edits to it will get removed if the file is opened in a newer version of Excel. Learn more: https://go.microsoft.com/fwlink/?linkid=870924
Comment:
    Students were interviewd over a period of 1 month, but are likely exposed to VPEs througout a school year, so 9 months?</t>
      </text>
    </comment>
    <comment ref="Q18" authorId="3" shapeId="0" xr:uid="{EE3EF89F-F600-4FD1-B05F-B0A26C62A42C}">
      <text>
        <t>[Threaded comment]
Your version of Excel allows you to read this threaded comment; however, any edits to it will get removed if the file is opened in a newer version of Excel. Learn more: https://go.microsoft.com/fwlink/?linkid=870924
Comment:
    Total implementation 3 years, but since school intervention assuming individual is 9 months?</t>
      </text>
    </comment>
    <comment ref="Q19" authorId="4" shapeId="0" xr:uid="{212787A2-C27A-485B-A066-EBB2961A6565}">
      <text>
        <t>[Threaded comment]
Your version of Excel allows you to read this threaded comment; however, any edits to it will get removed if the file is opened in a newer version of Excel. Learn more: https://go.microsoft.com/fwlink/?linkid=870924
Comment:
    Total implementation 4 years, no notes on length of individual exposure of participants</t>
      </text>
    </comment>
    <comment ref="Q41" authorId="5" shapeId="0" xr:uid="{CC17CBB7-0842-4CCE-A8B7-A640B1CA59E4}">
      <text>
        <t>[Threaded comment]
Your version of Excel allows you to read this threaded comment; however, any edits to it will get removed if the file is opened in a newer version of Excel. Learn more: https://go.microsoft.com/fwlink/?linkid=870924
Comment:
    Difficult to determine. Article is more of a financial review of Straight Talk activities.</t>
      </text>
    </comment>
    <comment ref="Q45" authorId="6" shapeId="0" xr:uid="{3D2F31C4-9C76-458C-9DF6-E43C132404CE}">
      <text>
        <t>[Threaded comment]
Your version of Excel allows you to read this threaded comment; however, any edits to it will get removed if the file is opened in a newer version of Excel. Learn more: https://go.microsoft.com/fwlink/?linkid=870924
Comment:
    Total implementation 4 years, no notes on length of individual exposure of participants</t>
      </text>
    </comment>
    <comment ref="Q52" authorId="7" shapeId="0" xr:uid="{D7B2E8A4-76EB-42B7-87CE-B9CACCA566D0}">
      <text>
        <t>[Threaded comment]
Your version of Excel allows you to read this threaded comment; however, any edits to it will get removed if the file is opened in a newer version of Excel. Learn more: https://go.microsoft.com/fwlink/?linkid=870924
Comment:
    Study lasted two years but each mother only received messages for their child's vaccine appointment, which last up until 1 year</t>
      </text>
    </comment>
    <comment ref="Q59" authorId="8" shapeId="0" xr:uid="{11D80C00-A2D6-4F0B-8E13-266206F28896}">
      <text>
        <t>[Threaded comment]
Your version of Excel allows you to read this threaded comment; however, any edits to it will get removed if the file is opened in a newer version of Excel. Learn more: https://go.microsoft.com/fwlink/?linkid=870924
Comment:
    There were two rounds, the first lasting 12 months and the second lasting 6 months.</t>
      </text>
    </comment>
    <comment ref="Q60" authorId="9" shapeId="0" xr:uid="{3F4E202D-7CCD-4D54-A7A4-1D28254439A0}">
      <text>
        <t>[Threaded comment]
Your version of Excel allows you to read this threaded comment; however, any edits to it will get removed if the file is opened in a newer version of Excel. Learn more: https://go.microsoft.com/fwlink/?linkid=870924
Comment:
    Pilot conducted from April 1998 - April 2001; replication in another area from July 2003 - July 2006.</t>
      </text>
    </comment>
    <comment ref="Q61" authorId="10" shapeId="0" xr:uid="{3D2AC3CD-B776-4E46-AFC8-846B5C815FB7}">
      <text>
        <t>[Threaded comment]
Your version of Excel allows you to read this threaded comment; however, any edits to it will get removed if the file is opened in a newer version of Excel. Learn more: https://go.microsoft.com/fwlink/?linkid=870924
Comment:
    Total implementation 4 years, no notes on length of individual exposure of participants</t>
      </text>
    </comment>
    <comment ref="R65" authorId="11" shapeId="0" xr:uid="{A442BCE4-5B2B-4AA3-ADA6-D131F11E48BD}">
      <text>
        <t>[Threaded comment]
Your version of Excel allows you to read this threaded comment; however, any edits to it will get removed if the file is opened in a newer version of Excel. Learn more: https://go.microsoft.com/fwlink/?linkid=870924
Comment:
    Brief description of each program is on pg. 6. Too much text to put here.</t>
      </text>
    </comment>
    <comment ref="Q77" authorId="12" shapeId="0" xr:uid="{A4689125-3BA6-4944-AE7C-77A54A6459DC}">
      <text>
        <t>[Threaded comment]
Your version of Excel allows you to read this threaded comment; however, any edits to it will get removed if the file is opened in a newer version of Excel. Learn more: https://go.microsoft.com/fwlink/?linkid=870924
Comment:
    Study lasted two years but each woman only received SMS and home visits for 4 ANC visits (which last up to 36 weeks).</t>
      </text>
    </comment>
    <comment ref="R77" authorId="13" shapeId="0" xr:uid="{16FC893E-CC4B-4429-98AB-04C68920CFB6}">
      <text>
        <t>[Threaded comment]
Your version of Excel allows you to read this threaded comment; however, any edits to it will get removed if the file is opened in a newer version of Excel. Learn more: https://go.microsoft.com/fwlink/?linkid=870924
Comment:
    I'm not sure this is group IPC?</t>
      </text>
    </comment>
    <comment ref="Q93" authorId="14" shapeId="0" xr:uid="{6495B4B1-AFC0-452D-9D44-EB9026EB4115}">
      <text>
        <t>[Threaded comment]
Your version of Excel allows you to read this threaded comment; however, any edits to it will get removed if the file is opened in a newer version of Excel. Learn more: https://go.microsoft.com/fwlink/?linkid=870924
Comment:
    Length of time not clear</t>
      </text>
    </comment>
    <comment ref="R98" authorId="15" shapeId="0" xr:uid="{28AEF4D8-BDEA-4BB4-A0EE-21FE9D6E9AFB}">
      <text>
        <t>[Threaded comment]
Your version of Excel allows you to read this threaded comment; however, any edits to it will get removed if the file is opened in a newer version of Excel. Learn more: https://go.microsoft.com/fwlink/?linkid=870924
Comment:
    Description taken from master spreadsheet. Very little detail provided in study,</t>
      </text>
    </comment>
    <comment ref="Q103" authorId="16" shapeId="0" xr:uid="{43F0490E-6969-4DD5-ADBF-E721DC4C7A5B}">
      <text>
        <t>[Threaded comment]
Your version of Excel allows you to read this threaded comment; however, any edits to it will get removed if the file is opened in a newer version of Excel. Learn more: https://go.microsoft.com/fwlink/?linkid=870924
Comment:
    USAID funded this project for 5 years, authors do not note how long each peer educator worker or individual interactions with clients.</t>
      </text>
    </comment>
    <comment ref="Q104" authorId="17" shapeId="0" xr:uid="{C8B2D531-E0FE-4B91-B777-7D360582229D}">
      <text>
        <t>[Threaded comment]
Your version of Excel allows you to read this threaded comment; however, any edits to it will get removed if the file is opened in a newer version of Excel. Learn more: https://go.microsoft.com/fwlink/?linkid=870924
Comment:
    USAID funded this project for 5 years, authors do not note how long each peer educator worker or individual interactions with clients.</t>
      </text>
    </comment>
    <comment ref="Q109" authorId="18" shapeId="0" xr:uid="{9C30BB0F-A48E-41D7-91EC-EDDBD667764C}">
      <text>
        <t>[Threaded comment]
Your version of Excel allows you to read this threaded comment; however, any edits to it will get removed if the file is opened in a newer version of Excel. Learn more: https://go.microsoft.com/fwlink/?linkid=870924
Comment:
    USAID funded this project for 5 years, authors do not note how long each peer educator worker or individual interactions with clients.</t>
      </text>
    </comment>
    <comment ref="Q113" authorId="19" shapeId="0" xr:uid="{796E8811-00FC-46C3-B78E-350BB0188CAE}">
      <text>
        <t>[Threaded comment]
Your version of Excel allows you to read this threaded comment; however, any edits to it will get removed if the file is opened in a newer version of Excel. Learn more: https://go.microsoft.com/fwlink/?linkid=870924
Comment:
    USAID funded this project for 5 years, authors do not note how long each peer educator worker or individual interactions with clients.</t>
      </text>
    </comment>
    <comment ref="Q123" authorId="20" shapeId="0" xr:uid="{1C5CADFD-040C-46C5-BFB1-C8244461962C}">
      <text>
        <t>[Threaded comment]
Your version of Excel allows you to read this threaded comment; however, any edits to it will get removed if the file is opened in a newer version of Excel. Learn more: https://go.microsoft.com/fwlink/?linkid=870924
Comment:
    Only abstract available and it noted that program ran from 1988-1989</t>
      </text>
    </comment>
    <comment ref="R137" authorId="21" shapeId="0" xr:uid="{9D7175B7-1781-44F7-BD66-0C0DC3AF8484}">
      <text>
        <t>[Threaded comment]
Your version of Excel allows you to read this threaded comment; however, any edits to it will get removed if the file is opened in a newer version of Excel. Learn more: https://go.microsoft.com/fwlink/?linkid=870924
Comment:
    Very limited description of intervention.</t>
      </text>
    </comment>
    <comment ref="Q144" authorId="22" shapeId="0" xr:uid="{CC4851E3-392D-431B-8B2A-5FC9F675A0AE}">
      <text>
        <t>[Threaded comment]
Your version of Excel allows you to read this threaded comment; however, any edits to it will get removed if the file is opened in a newer version of Excel. Learn more: https://go.microsoft.com/fwlink/?linkid=870924
Comment:
    Program lasted two years, individual participation length not noted.</t>
      </text>
    </comment>
    <comment ref="Q152" authorId="23" shapeId="0" xr:uid="{1CB1D13B-C073-4D4F-A5A2-6CED63276259}">
      <text>
        <t>[Threaded comment]
Your version of Excel allows you to read this threaded comment; however, any edits to it will get removed if the file is opened in a newer version of Excel. Learn more: https://go.microsoft.com/fwlink/?linkid=870924
Comment:
    Women were only contacted one time for a repeat pap</t>
      </text>
    </comment>
    <comment ref="Q156" authorId="24" shapeId="0" xr:uid="{3989A256-74D4-4ED4-9ABC-7AB690528E71}">
      <text>
        <t>[Threaded comment]
Your version of Excel allows you to read this threaded comment; however, any edits to it will get removed if the file is opened in a newer version of Excel. Learn more: https://go.microsoft.com/fwlink/?linkid=870924
Comment:
    An evaluation of three different programs with no information on duration of participants.</t>
      </text>
    </comment>
    <comment ref="Q160" authorId="25" shapeId="0" xr:uid="{A2CE8064-4F64-4933-8729-726D41BA2F10}">
      <text>
        <t>[Threaded comment]
Your version of Excel allows you to read this threaded comment; however, any edits to it will get removed if the file is opened in a newer version of Excel. Learn more: https://go.microsoft.com/fwlink/?linkid=870924
Comment:
    Total implementation 3 years, no notes on length of individual exposure of participants.</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<sst xmlns="http://schemas.openxmlformats.org/spreadsheetml/2006/main" count="3668" uniqueCount="964">
  <si>
    <t>Denominator</t>
  </si>
  <si>
    <t>Study_ID</t>
  </si>
  <si>
    <t>Intervention_broad</t>
  </si>
  <si>
    <t>Intervention_narrow</t>
  </si>
  <si>
    <t>2020_unit_cost</t>
  </si>
  <si>
    <t>Health_area</t>
  </si>
  <si>
    <t>Country</t>
  </si>
  <si>
    <t>Region</t>
  </si>
  <si>
    <t>Urban_Rural</t>
  </si>
  <si>
    <t>Scope</t>
  </si>
  <si>
    <t>Population</t>
  </si>
  <si>
    <t>Economic_Financial</t>
  </si>
  <si>
    <t>C-157</t>
  </si>
  <si>
    <t xml:space="preserve">Dagadu </t>
  </si>
  <si>
    <t>Lead Author</t>
  </si>
  <si>
    <t>Mass Media</t>
  </si>
  <si>
    <t>Radio</t>
  </si>
  <si>
    <t>per person exposed</t>
  </si>
  <si>
    <t>Financial</t>
  </si>
  <si>
    <t>General</t>
  </si>
  <si>
    <t>Uganda</t>
  </si>
  <si>
    <t>SSA</t>
  </si>
  <si>
    <t>NS</t>
  </si>
  <si>
    <t>Ownership</t>
  </si>
  <si>
    <t>Private</t>
  </si>
  <si>
    <t>District</t>
  </si>
  <si>
    <t>C-158</t>
  </si>
  <si>
    <t>Dandona</t>
  </si>
  <si>
    <t>HIV</t>
  </si>
  <si>
    <t>Mixed mass media</t>
  </si>
  <si>
    <t>India</t>
  </si>
  <si>
    <t>Mixed</t>
  </si>
  <si>
    <t>Asia</t>
  </si>
  <si>
    <t>National</t>
  </si>
  <si>
    <t>C-159</t>
  </si>
  <si>
    <t>de Bresser</t>
  </si>
  <si>
    <t>Stigmatized populations</t>
  </si>
  <si>
    <t>Indonesia</t>
  </si>
  <si>
    <t>NGO</t>
  </si>
  <si>
    <t>per person targeted</t>
  </si>
  <si>
    <t>per person reached</t>
  </si>
  <si>
    <t>Economic</t>
  </si>
  <si>
    <t>Other</t>
  </si>
  <si>
    <t>Thailand</t>
  </si>
  <si>
    <t>Public</t>
  </si>
  <si>
    <t>C-171</t>
  </si>
  <si>
    <t>Kasteng</t>
  </si>
  <si>
    <t>MNCH</t>
  </si>
  <si>
    <t>Mothers, children</t>
  </si>
  <si>
    <t>Burkina Faso</t>
  </si>
  <si>
    <t>per person in population</t>
  </si>
  <si>
    <t>C-178</t>
  </si>
  <si>
    <t>Murukutla</t>
  </si>
  <si>
    <t>Integrated</t>
  </si>
  <si>
    <t>Exposed</t>
  </si>
  <si>
    <t>Participated</t>
  </si>
  <si>
    <t>Nahar</t>
  </si>
  <si>
    <t>TV</t>
  </si>
  <si>
    <t>Bangladesh</t>
  </si>
  <si>
    <t>Rural</t>
  </si>
  <si>
    <t>C-179</t>
  </si>
  <si>
    <t>C-195</t>
  </si>
  <si>
    <t>Webster</t>
  </si>
  <si>
    <t>Fiji</t>
  </si>
  <si>
    <t>C-155</t>
  </si>
  <si>
    <t>Chen</t>
  </si>
  <si>
    <t>Mobile digital</t>
  </si>
  <si>
    <t>Women</t>
  </si>
  <si>
    <t>Kenya</t>
  </si>
  <si>
    <t>Contacted</t>
  </si>
  <si>
    <t>Notes</t>
  </si>
  <si>
    <t>Two different programs</t>
  </si>
  <si>
    <t>C-166</t>
  </si>
  <si>
    <t>George</t>
  </si>
  <si>
    <t>Urban</t>
  </si>
  <si>
    <t>C-172</t>
  </si>
  <si>
    <t>Kawakatsu</t>
  </si>
  <si>
    <t>Nigeria</t>
  </si>
  <si>
    <t>C-184</t>
  </si>
  <si>
    <t>Rashid</t>
  </si>
  <si>
    <t>Malaysia</t>
  </si>
  <si>
    <t>C-189</t>
  </si>
  <si>
    <t>Stevens</t>
  </si>
  <si>
    <t>HIV positive</t>
  </si>
  <si>
    <t>Eswatini</t>
  </si>
  <si>
    <t>C-151</t>
  </si>
  <si>
    <t>Abdallah</t>
  </si>
  <si>
    <t>Provider behavior change</t>
  </si>
  <si>
    <t>Provider training</t>
  </si>
  <si>
    <t>Occupational groups</t>
  </si>
  <si>
    <t>per patient call</t>
  </si>
  <si>
    <t>per provider trained</t>
  </si>
  <si>
    <t>Training only</t>
  </si>
  <si>
    <t>IPC</t>
  </si>
  <si>
    <t>per person contacted (via monitoring data)</t>
  </si>
  <si>
    <t>Unit costs measured by monitoring data and using endline survey, with highly different results, not sure which one you want to use for analysis</t>
  </si>
  <si>
    <t>Erulkar</t>
  </si>
  <si>
    <t>C-162</t>
  </si>
  <si>
    <t>per girl/person served</t>
  </si>
  <si>
    <t>Two different country applications</t>
  </si>
  <si>
    <t>Tanzania</t>
  </si>
  <si>
    <t>Chandrashekar</t>
  </si>
  <si>
    <t>Group IPC</t>
  </si>
  <si>
    <t>per person participating</t>
  </si>
  <si>
    <t>per person participating in health layering</t>
  </si>
  <si>
    <t>per person participating in SHG group</t>
  </si>
  <si>
    <t>C-156</t>
  </si>
  <si>
    <t>Colbourn</t>
  </si>
  <si>
    <t>Individual IPC</t>
  </si>
  <si>
    <t>per person participated</t>
  </si>
  <si>
    <t>C-161</t>
  </si>
  <si>
    <t>Durand</t>
  </si>
  <si>
    <t>Pregnant women</t>
  </si>
  <si>
    <t>Peru</t>
  </si>
  <si>
    <t>Latin America</t>
  </si>
  <si>
    <t>per person participating (traditional program)</t>
  </si>
  <si>
    <t>Traditional SBC vs. "Multiple intelligences" model</t>
  </si>
  <si>
    <t>per person participating (multiple intelligences program)</t>
  </si>
  <si>
    <t>C-163</t>
  </si>
  <si>
    <t>Fatti</t>
  </si>
  <si>
    <t>South Africa</t>
  </si>
  <si>
    <t>Adolescents</t>
  </si>
  <si>
    <t>per person per year</t>
  </si>
  <si>
    <t>C-164</t>
  </si>
  <si>
    <t>Fotso</t>
  </si>
  <si>
    <t>Sierra Leone</t>
  </si>
  <si>
    <t>C-170</t>
  </si>
  <si>
    <t>Jo</t>
  </si>
  <si>
    <t>took 2nd year costs instead of 1st year costs</t>
  </si>
  <si>
    <t>C-176</t>
  </si>
  <si>
    <t>Li</t>
  </si>
  <si>
    <t>China</t>
  </si>
  <si>
    <t>Children</t>
  </si>
  <si>
    <t>per participant</t>
  </si>
  <si>
    <t>C-180</t>
  </si>
  <si>
    <t>Nguyen</t>
  </si>
  <si>
    <t>Vietnam</t>
  </si>
  <si>
    <t>Local</t>
  </si>
  <si>
    <t>C-185</t>
  </si>
  <si>
    <t>Rongsumlee</t>
  </si>
  <si>
    <t>MSM</t>
  </si>
  <si>
    <t>per person reached friend center</t>
  </si>
  <si>
    <t xml:space="preserve">Took first round </t>
  </si>
  <si>
    <t>per person reached friend curriculum</t>
  </si>
  <si>
    <t>C-187</t>
  </si>
  <si>
    <t>Sathish</t>
  </si>
  <si>
    <t>At risk for diabetes</t>
  </si>
  <si>
    <t>Shearer</t>
  </si>
  <si>
    <t>Sri Lanka</t>
  </si>
  <si>
    <t>C-188</t>
  </si>
  <si>
    <t>more intensive arm</t>
  </si>
  <si>
    <t>less intensive arm</t>
  </si>
  <si>
    <t>C-192</t>
  </si>
  <si>
    <t>Tschampl</t>
  </si>
  <si>
    <t>Nicaragua</t>
  </si>
  <si>
    <t xml:space="preserve">per person in area </t>
  </si>
  <si>
    <t>Mexico</t>
  </si>
  <si>
    <t>C-196</t>
  </si>
  <si>
    <t>Papini</t>
  </si>
  <si>
    <t>Brazil</t>
  </si>
  <si>
    <t>Intervention</t>
  </si>
  <si>
    <t>Reach 
denominator</t>
  </si>
  <si>
    <t>Live drama</t>
  </si>
  <si>
    <t>Community announcements</t>
  </si>
  <si>
    <t>Summary of unit costs</t>
  </si>
  <si>
    <t xml:space="preserve">Provider </t>
  </si>
  <si>
    <t>C-001</t>
  </si>
  <si>
    <t>Agarwal</t>
  </si>
  <si>
    <t>per provider participated</t>
  </si>
  <si>
    <t>C-005</t>
  </si>
  <si>
    <t>Askew</t>
  </si>
  <si>
    <t>FP/RH</t>
  </si>
  <si>
    <t>C-007</t>
  </si>
  <si>
    <t>Babalola</t>
  </si>
  <si>
    <t>Cameroon</t>
  </si>
  <si>
    <t xml:space="preserve">per exposed </t>
  </si>
  <si>
    <t>C-016</t>
  </si>
  <si>
    <t>Bertrand</t>
  </si>
  <si>
    <t>Men</t>
  </si>
  <si>
    <t>Guatemala</t>
  </si>
  <si>
    <t>C-020</t>
  </si>
  <si>
    <t>Boone</t>
  </si>
  <si>
    <t>C-021</t>
  </si>
  <si>
    <t>Borghi</t>
  </si>
  <si>
    <t>Nepal</t>
  </si>
  <si>
    <t>C-022</t>
  </si>
  <si>
    <t>Bowen</t>
  </si>
  <si>
    <t>Malaria</t>
  </si>
  <si>
    <t>C-024</t>
  </si>
  <si>
    <t>Burke</t>
  </si>
  <si>
    <t>Zambia</t>
  </si>
  <si>
    <t>provider participated</t>
  </si>
  <si>
    <t>C-026</t>
  </si>
  <si>
    <t>Chang</t>
  </si>
  <si>
    <t>C-028</t>
  </si>
  <si>
    <t>Chee</t>
  </si>
  <si>
    <t>Madagascar</t>
  </si>
  <si>
    <t>C-033</t>
  </si>
  <si>
    <t>Das</t>
  </si>
  <si>
    <t>C-034</t>
  </si>
  <si>
    <t>Mid media</t>
  </si>
  <si>
    <t>Davies</t>
  </si>
  <si>
    <t>C-035</t>
  </si>
  <si>
    <t>Davis</t>
  </si>
  <si>
    <t>Mozambique</t>
  </si>
  <si>
    <t>per participating</t>
  </si>
  <si>
    <t>C-037</t>
  </si>
  <si>
    <t>Denison</t>
  </si>
  <si>
    <t>C-038</t>
  </si>
  <si>
    <t>Desrochers</t>
  </si>
  <si>
    <t>Togo</t>
  </si>
  <si>
    <t>per household participating</t>
  </si>
  <si>
    <t>C-044</t>
  </si>
  <si>
    <t>Fisek</t>
  </si>
  <si>
    <t>Turkey</t>
  </si>
  <si>
    <t>C-048</t>
  </si>
  <si>
    <t>Givaudan</t>
  </si>
  <si>
    <t>C-059</t>
  </si>
  <si>
    <t>Homan</t>
  </si>
  <si>
    <t>Benin</t>
  </si>
  <si>
    <t>Hutchinson</t>
  </si>
  <si>
    <t>Jah</t>
  </si>
  <si>
    <t>Burundi</t>
  </si>
  <si>
    <t>Rwanda</t>
  </si>
  <si>
    <t>DRC</t>
  </si>
  <si>
    <t>Janowitz</t>
  </si>
  <si>
    <t>Kahn</t>
  </si>
  <si>
    <t>C-074</t>
  </si>
  <si>
    <t>Kaufman</t>
  </si>
  <si>
    <t>C-075</t>
  </si>
  <si>
    <t>Kempers</t>
  </si>
  <si>
    <t>Moldova</t>
  </si>
  <si>
    <t>C-076</t>
  </si>
  <si>
    <t>Khan</t>
  </si>
  <si>
    <t>C-077</t>
  </si>
  <si>
    <t>Kilian</t>
  </si>
  <si>
    <t>household participated</t>
  </si>
  <si>
    <t>Kincaid</t>
  </si>
  <si>
    <t>Philippines</t>
  </si>
  <si>
    <t>Larson</t>
  </si>
  <si>
    <t>C-084</t>
  </si>
  <si>
    <t>Lewycka</t>
  </si>
  <si>
    <t>Malawi</t>
  </si>
  <si>
    <t>C-085</t>
  </si>
  <si>
    <t>Maccario</t>
  </si>
  <si>
    <t>Mali</t>
  </si>
  <si>
    <t>C-086</t>
  </si>
  <si>
    <t>Mangone</t>
  </si>
  <si>
    <t>Marseille</t>
  </si>
  <si>
    <t>Ethiopia</t>
  </si>
  <si>
    <t>Palmer</t>
  </si>
  <si>
    <t>C-096</t>
  </si>
  <si>
    <t>Pande</t>
  </si>
  <si>
    <t>Perry</t>
  </si>
  <si>
    <t>C-101</t>
  </si>
  <si>
    <t>Piotrow</t>
  </si>
  <si>
    <t>Zimbabwe</t>
  </si>
  <si>
    <t>Powell-Jackson</t>
  </si>
  <si>
    <t>Reynolds</t>
  </si>
  <si>
    <t>participating</t>
  </si>
  <si>
    <t>Robinson</t>
  </si>
  <si>
    <t>Egypt</t>
  </si>
  <si>
    <t>exposed</t>
  </si>
  <si>
    <t>C-110</t>
  </si>
  <si>
    <t>Rodrigues</t>
  </si>
  <si>
    <t>C-111</t>
  </si>
  <si>
    <t>Rosen</t>
  </si>
  <si>
    <t>C-113</t>
  </si>
  <si>
    <t>Santoso</t>
  </si>
  <si>
    <t>C-115</t>
  </si>
  <si>
    <t>Sarker</t>
  </si>
  <si>
    <t>C-116</t>
  </si>
  <si>
    <t>Shen</t>
  </si>
  <si>
    <t>Sodani</t>
  </si>
  <si>
    <t>Somda</t>
  </si>
  <si>
    <t>Namibia</t>
  </si>
  <si>
    <t>C-122</t>
  </si>
  <si>
    <t>Sood</t>
  </si>
  <si>
    <t>Svenson</t>
  </si>
  <si>
    <t>Dominican Republic</t>
  </si>
  <si>
    <t>C-127</t>
  </si>
  <si>
    <t>Terris-Prestholt</t>
  </si>
  <si>
    <t>C-130</t>
  </si>
  <si>
    <t>Thakur</t>
  </si>
  <si>
    <t>particpating</t>
  </si>
  <si>
    <t>Verstraaten</t>
  </si>
  <si>
    <t>Vickerman</t>
  </si>
  <si>
    <t>Ukraine</t>
  </si>
  <si>
    <t>C-138</t>
  </si>
  <si>
    <t>Vinekar</t>
  </si>
  <si>
    <t>Yun</t>
  </si>
  <si>
    <t>NEW Median  
Unit Cost Defaults</t>
  </si>
  <si>
    <t>NA</t>
  </si>
  <si>
    <t>OLD Median Unit costs</t>
  </si>
  <si>
    <t>At risk for cardiovascular</t>
  </si>
  <si>
    <t>GNIPC</t>
  </si>
  <si>
    <t>HEALTH AREA</t>
  </si>
  <si>
    <t>per beneficiary</t>
  </si>
  <si>
    <t>FSW</t>
  </si>
  <si>
    <t>Truck driver</t>
  </si>
  <si>
    <t>per client messaged</t>
  </si>
  <si>
    <t>cost per person reached</t>
  </si>
  <si>
    <t>Duration_study</t>
  </si>
  <si>
    <t>Duration_participant</t>
  </si>
  <si>
    <t>Medium: Mobile job aid included a decision-support tool to help CHWs provide FP and HIV services, collect patient data, send SMS reminders for patient follow up visits and send CHW performance reports back to their supervisors.</t>
  </si>
  <si>
    <t xml:space="preserve">High: The national televisionstation and two radio stations broadcast campaign messages for a period of three months. Each radio station aired the messages at least three times a day, while the national television broadcast the messages three times a week. There were also community mobilization activities to launch local campaigns. </t>
  </si>
  <si>
    <t>Medium: A total of six, 30-45 second radio spots aired eight times a day for 10 months. Additionally 36 micro programs were produced that were 10 minutes each. They included health information and ran once every two weeks for 10 months (overlapping with radio spots).</t>
  </si>
  <si>
    <t>High: An "anthem" song was created to raise awareness about bednets, four PSAs aired on tv and on 16 radio stations. Messages were aired daily. SMS reminders about bednets were sent twice during the intervention. 100 billboards were created.</t>
  </si>
  <si>
    <t>Low: Youth peer education (YPE) programs were monitored and evaluated for nince months to measure program quality. Several checklists and interviews were used to determine quality.</t>
  </si>
  <si>
    <t xml:space="preserve">Low: Peer health workers received a mobile phone to cal  and text patients’ clinical data to centralized staff to improve communication. </t>
  </si>
  <si>
    <t>High: Malaria messages were conveyed through community based meetings, posters and leaflets, cinema shows, street plays, and community notices. Two billboards, twice a year community meetings, flip books distrubuted once a year, school meetings wice a year, street plays and audio-visual shows put on twice a year with posters and leaflets distrubtued during the performance. Door-to-door visits were also implemented.  The NGOs utilized local community-based groups and women’s Self Help Groups (SHG) for community mobilization. ASHAs also received supportive supervision; a trained NGO field worker visited each ASHA at least twice a month. Every NGO field worker was responsible for 10 ASHA.</t>
  </si>
  <si>
    <t xml:space="preserve">High: Condom social marketing campaign included mass media advertising through newspapers, radio, movies and retailers displays. All retailers were educated using personal visits, samples and booklets. A mailing campign was also used to contact 4,500 "elite opinion leaders" to inform them of the program and its benefits. </t>
  </si>
  <si>
    <t xml:space="preserve">Medium: To raise awareness about emergency contraceptives: brochures were mailed to 1,518 private physIcIans and 411 pharmacIsts, b) brochures were dIrectly dIstnbuted to eIght publIc health centers and social secuirty clImcs, and c) artIcles were publIshed m three professional courtesy journals for physIcIans and pharmacists.  An additional "strategy" included sending 7,000 brochures to students and 850 posters at a nearby college campus. A third strategy focused on sending a folder with EC articles to 115 media outlets with telephone follow up calls. TV and radio programs also aired, reaching an estimated 12,773,190 people. 
</t>
  </si>
  <si>
    <t xml:space="preserve">High: Smiling Sun campaign was implemented at national, community and local levels. Activities included a 26-episode television drama, television advertisements, radio spots, posters, billboards, press ads in daily newspapers, and local publicity efforts. </t>
  </si>
  <si>
    <t>Medium: A 208-episode  radio  serial  drama focused on FP, RH, HIV and nutrition ran for 2 years</t>
  </si>
  <si>
    <t>Medium: A 104-episode RSD titled Impano n’Impamba (“A Gift for Today That Will Last a Long Time”) was developed and aired nationwide in the Kinyarwanda language from October 2014 to October 2015. The RSD addressed FP, sexuality and RH, child health and nutrition, and gender.</t>
  </si>
  <si>
    <t>Medium: A 156-episode long Vivra Verra (“Time Will Tell”), broadcast  nationwide  in  French  from  September  2014  that  concluded  in  March  2016. The RSD focused on issues such as FP, adolescent sexual and RH, maternal and  child  health,  and  domestic  violence.</t>
  </si>
  <si>
    <t>C-064</t>
  </si>
  <si>
    <t>C-067</t>
  </si>
  <si>
    <t>C-070</t>
  </si>
  <si>
    <t>High: The package of interventions was provided by 300 anganwadi workers who educated mothers via monthly education sessions for a year on family planning and nutrition. Healthcare providers were also trained in IUD insertion, and this was promoted through IEC materials which were distibuted throughout communities and at meetings.</t>
  </si>
  <si>
    <t>C-078</t>
  </si>
  <si>
    <t>C-081</t>
  </si>
  <si>
    <t>Low: Four tv spots were aired that discussed the benefits of family planning, over a period of 5 months. Does not note how many times each spot aired.</t>
  </si>
  <si>
    <t>Low: community mobilization and demand creation activities (no further details provided) and then a mobile VMMC van that provided services in rural areas.</t>
  </si>
  <si>
    <t>Low: The intervention included three components: (i) participatory malaria prevention education (teachers trained for 2 days and then given 2 weeks to give malaria lessons to students); (ii) distribution of LLINs before the start of the rainy season; and (iii) administration of a 3-day antimalarial treatment to all schoolchildren to eliminate any malaria infections</t>
  </si>
  <si>
    <t>C-087</t>
  </si>
  <si>
    <t>Medium: m4RH is an automated, on-demand SMS system that provides essential information about nine different contraceptive methods to address the limited knowledge, misconceptions, fears and health concerns surrounding contraception. For each SMS sent by a user, users typically receive between one and three SMS in response.</t>
  </si>
  <si>
    <t>C-089</t>
  </si>
  <si>
    <t>Low: one-hour program that aired weekly with a panel of adolescent and expert guests who discussed various reproductive health issues</t>
  </si>
  <si>
    <t>C-097</t>
  </si>
  <si>
    <t>C-103</t>
  </si>
  <si>
    <t>C-106</t>
  </si>
  <si>
    <t>Medium: 52-episode semiweekly radio soap opera about family planning. 60 motivational talks and two pamphlets were also produced</t>
  </si>
  <si>
    <t>Low: Training intervention for on-site, in-charge reproductive health supervisors in Kenya, carried out with two groups of 15 supervisors over 2 weeks. Articles and job aids were mailed after. They also conducted a 1-day follow up meeting  with supervisors.</t>
  </si>
  <si>
    <t>C-112</t>
  </si>
  <si>
    <t>Medium: The intervention will consist of 2 parts (i) an automated voice call that will go out once a week to patients in the intervention arm, at a time decided upon by each patient. The call will be interactive, as the patient will respond to a question about whether his or her pill doses were taken the previous day, by pressing ‘1’ for yes or ‘2’ for no. If the patient fails to respond to the call, a maximum of three more calls will be made over the ensuing 24 hours, until a response is obtained. (ii) A weekly non interactive neutral pictorial message will be sent out as a reminder 4 days after automated call</t>
  </si>
  <si>
    <t>C-118</t>
  </si>
  <si>
    <t>Low: Two intervention groups: a small group face-to-face intervention and a formal seminar for prescribers. Each lasted 2 hours and was held once per participant.</t>
  </si>
  <si>
    <t>High: BCC messages were delivered through 13 different mediums, categorized into three broader channels: face-to-face counseling (FFC), group counseling (GC) and mass media (MM), which included a tv spot that aired once a day and a once a year community event. 25 meetings and 13 performance events took place during the 5 month period.</t>
  </si>
  <si>
    <t>Low: Roving teams performed "pop-up" testing for HPV,  program assistantsworked on using text messages and phone calls to notify women of their results, and community health volunteers also went door to door to notify women.</t>
  </si>
  <si>
    <t xml:space="preserve">Medium: Local womens groups are trained to assist with child health home visits and attend focus group discussions to identfiy common problems in the community. They also attend nutrition counseling and child care sessions that are 12-day monthly sessions, an hour each. </t>
  </si>
  <si>
    <t>C-123</t>
  </si>
  <si>
    <t>C-124</t>
  </si>
  <si>
    <t xml:space="preserve">High: Four, 30-minute weekly reality tv show, a tv drama, and nine 1-minute tv commercials were aired for 11 months. </t>
  </si>
  <si>
    <t>C-129</t>
  </si>
  <si>
    <t>High: Training of teachers and class peer educators, community mobilization via drama performances and meetings with community leaders, you condom provision program, you health days at clinics, condom demonstrations, individual counseling, health worker education courses. Reached 15,000 children each year.</t>
  </si>
  <si>
    <t xml:space="preserve">High: General community meetings (participants ranged from 2 to several hundred) were held in conjunction with dramas, video shows, education via community based volunteers, and a school program implmented in 66 schools, trained 148 teachers. </t>
  </si>
  <si>
    <t>C-132</t>
  </si>
  <si>
    <t>Low: Door to door cancer awareness and early detection campaign. Knowledge of danger signs and need of early treatment was communicated to the community through pamphlets. HCWs referred patients to facility for care and provided follow up.</t>
  </si>
  <si>
    <t>C-137</t>
  </si>
  <si>
    <t>Medium: IEC activities included a radio program and peer education program. Outreach points were set up to provide clean syringes and condoms,  each IDU reached by the outreach points attended 4 times on average. At a visit, the IDU was counseled on HIV prevention and received condoms and syringes (on average 10 syringes per year per IDU).</t>
  </si>
  <si>
    <t>C-140</t>
  </si>
  <si>
    <t>C-148</t>
  </si>
  <si>
    <t>Low: Mothers giving birth in the hospital were given informational cards if their newborns were underweight. Cards contained information about retinopathy and a contact number for a screening center. Mothers were reminded to bring infants in for screening via a phone call</t>
  </si>
  <si>
    <t>High: Multimedia campaign (tv, radio, print, posters, brochures). Before campaign began distributed thousands of calendars, posters and brochures to hospitals, medical professionals, and clinics. One-day population awareness symposium, television spots broadcast 145 times over three monthsr, three-part TV serial drama, 45 minute feature drama, 20 minute documentary, 8 short radio spots aired for 2 months, 50 minute drama, 6-episode radio drama, 30 minute instructional video.</t>
  </si>
  <si>
    <t>Provider self-assessments were a series of eight forms to be completed by the provider to address specific interpersonal communication skills; Peer review meetings brought together 3 to 4 providers to discuss their practice and provide feedback. Participating providers completed one of the eight forms every week over a period of 16 weeks.</t>
  </si>
  <si>
    <t>High: One way and two way SMS text messages were sent to HIV + peripartum women to improve adherence to ART and retention in care, with ultimate goal of reducing PMTCT. Messages were sent weekly, and these messages included motivational and educational content and visit reminders; two-way messaging enabled prompt consultation with the nurse as needed.</t>
  </si>
  <si>
    <t>High: Intervention package: engaging community leaders, serialized radio drama, linkng adolescents to health services. Scale up phase only 12 months.</t>
  </si>
  <si>
    <t>High? Not much detail provided; "a state-wide information, education and communication (IEC) programme for the general public (mass media campaigns)".</t>
  </si>
  <si>
    <t xml:space="preserve">High: Outreach program, performed 26 times a month by both paid workers and volunteers, who visit HIV hotspots and provide HIV information and referals to HIV testing facilities. Harm reduction community meetings provided 11 times a month, and IEC information is provided at womens clinics, consisting of a monthly IEC stand and an IEC presentation, which is organized three to four times a year. </t>
  </si>
  <si>
    <t>Low: SMS were sent to truckers and sex workers to make them aware of HIV testing clinics. Clients were given demonstration of the HIVST kit and then offered the testing choices. Testing was done at the clinic or at home. Participants who took the test home and who failed to contact the clinic staff within the three days after taking a test kit were called to inquire about the use of the test and provide counselling and referrals if appropriate. Clients were informed that they could call or send a SMS at any time while self-testing if they had any questions or concerns.</t>
  </si>
  <si>
    <t xml:space="preserve">High: A mass radio campaign addressing the main causes of postneonatal child mortality was broadcast for 35 months. The  campaign broadcast radio spots 74 480 times and 4610  2-hour shows through seven local radio stations, reaching  approximately 2.4million people including 620 000 direct  beneficiaries (pregnant women and children under five). The campaign consisted of  1-min radio spots, with a new spot each week broadcast  10 times every day, together with 2-hour long radio shows  broadcast every weekday evening. </t>
  </si>
  <si>
    <t>The participants in the intervention group were sent an SMS text reminder two days before their child vaccine appointments. Those not having showed up on the appointment dates received an additional SMS text reminder seven days after original appointment dates as defaulter tracing.</t>
  </si>
  <si>
    <t>High: Anti smoking campaign consisting of 30s public service announcement. It aired  on national television and radio in November and December 2009. The TV component of the  campaign aired predominantly during ‘primetime’ hours (81% of the time); a third of the campaign aired on state-owned national and regional TV channels and the rest was  allocated to privately owned, national cable and  satellite channels. The campaign was supplemented by 11460 planned radio spot exposures for the 
duration of the campaign.</t>
  </si>
  <si>
    <t xml:space="preserve">Medium: Two interventions: "no raw sap consumption" from December 2012 to March 2013, and the "only safe sap" intervention from October 2013 to January 2014. Interventions utilized community meetings, Posters, provided calendars or yearly planners, with prevention messages, to the opinion leaders, and broadcast-quality public service announce_x0002_ments, in the form of DVDs, to the local TV channels. </t>
  </si>
  <si>
    <t xml:space="preserve">Low: A randomised control trial was conducted where one thousand women were recalled for repeat smear either by registered letter, phone messages, phone call or the usual postal letter. </t>
  </si>
  <si>
    <t>Medium: 1) Point-of-care CD4+ count testing. 2) Accelerated ART initiation for eligible participants (CD4+ count ≤ 350 cells/mm3 or WHO Stage III/VI) to enable ART initiation within 1 week of diagnosis. 3) Mobile phone appointment reminders. 4) Basic care and prevention package including commodities and informational materials. 5) Non-cash financial incentive for who linked to care within 1 month of HIV testing and those who completed HIV care clinic visits at 6 and 12 months after HIV testing. SMS visit reminders were sent 3 days prior to each scheduled visit, and also within 7 days after a missed visit</t>
  </si>
  <si>
    <t>Low: A population-wide intervention included engaging food industry to reduce salt in foods, strategic health communication and a hospital program. Not much detailed provided</t>
  </si>
  <si>
    <t>Medium: Evaluating three programs: UMATI, the Tanzania Ministry of Health’s Family Planning Unit (FPU) and the Seventh-Day Adventist (SDA) Community-Based Distribution Program. These all specialize in community based distribution of FP srvices. Agents provide FP and maternal and child health services to women in their homes: they recruit new clients, supply and resupply pills, condoms and spermicides and make referrals. FPU uses part-time volunteers who are given a cicyle allowance and in-kind contributions (e.g. bicycles, bags, and metal boxes).</t>
  </si>
  <si>
    <t>Medium? Publications -- magazines called Straigt Talk, Young Talk, Parent Talk, and others in various languages (English, Ateso, Lwo, Luganda, 4Rs, and Sudanese). 47 issues produced with distribution of 10,790,000 copies.</t>
  </si>
  <si>
    <t>Intensity (RL)</t>
  </si>
  <si>
    <t>Intensity (NB)</t>
  </si>
  <si>
    <t>High - ran 8x day plus 36 microspots - a lot of programming to develop</t>
  </si>
  <si>
    <t>High - created a new song plus other advertisements</t>
  </si>
  <si>
    <t>Low - the community announcements part seemed relevatively light with one street performance and one public health address</t>
  </si>
  <si>
    <t>Medium - few details on the extent of the campaign</t>
  </si>
  <si>
    <t>Medium - little information given on the extent of the training</t>
  </si>
  <si>
    <t>Low - peers receiving 2-day residential training</t>
  </si>
  <si>
    <t xml:space="preserve">Medium -  10 days of training </t>
  </si>
  <si>
    <t>High - details not given, but reflective of resources allocated towards training compared to others</t>
  </si>
  <si>
    <t>Medium - few details on training</t>
  </si>
  <si>
    <t>Low - two day orientation with one day reorientation</t>
  </si>
  <si>
    <t>High - developed curriculum with pretests and accompanying materials; 1 week intensive training</t>
  </si>
  <si>
    <t>Low - 2-hour seminar</t>
  </si>
  <si>
    <t>High - multilevel with teachers 1 week training, peers 3 week training, and class 2 days</t>
  </si>
  <si>
    <t>Medium - regular training plus 1/2 day reinforcement</t>
  </si>
  <si>
    <t>Medium - multiple responses back</t>
  </si>
  <si>
    <t>High - allows for two way + send reminders</t>
  </si>
  <si>
    <t>Medium - allows for two-way communication</t>
  </si>
  <si>
    <t>High - two-way communication with live  health workers</t>
  </si>
  <si>
    <t>Low - one phone call as a reminder</t>
  </si>
  <si>
    <t>High - two-way SMS sent weekly</t>
  </si>
  <si>
    <t>Medium - one-way SMS sent weekly</t>
  </si>
  <si>
    <t>Low - one SMS sent</t>
  </si>
  <si>
    <t>Low - 3 SMS sent</t>
  </si>
  <si>
    <t>Medium - allowed for two-way after receipt of services</t>
  </si>
  <si>
    <t>Low - one-way text</t>
  </si>
  <si>
    <t>Low - text message reminders</t>
  </si>
  <si>
    <t>Medium - multiple stations; multiple times per day; includes radio, TV, and print.  Number of different spots developed not specified</t>
  </si>
  <si>
    <t>Medium - different distribution</t>
  </si>
  <si>
    <t>Medium - not many details given about billboards specifically</t>
  </si>
  <si>
    <t>The MOEST intervention educated in-school adolescents about reproductive and sexual health. Program trained 74 Guidance and Counselling Teachers and 29 Head Teachers, establishing extra-curricula classes and recruiting, training and supervising 600 school-based peer educators to reach their schoolmates through activities such as theatre, debates, festivals and essay competitions.  Educators were to provide 34 one-hour sessions. 27 schools included.</t>
  </si>
  <si>
    <t>One man from the community was trained to be a community promoter for vasectomies and trained in family planning methods and male sterilization. Promoters were required to organize groups of men in their community to discuss family planning and vasectomies. Timing of this not noted but authors mention a 12-month program</t>
  </si>
  <si>
    <t>Intervention team delivered community health promotion activities and were comprised of a program coordinator, field officers who managed midwives, VHWs and field supervisors. 230 women from the community were trained to work as VHWs. They assisted in leading participatory discussion groups (PDGs) and provided health services. Community mobilization: Intervention villages received a single health education campaign using song and dance. A monthly participatory discussion group was also held for mothers, led by (supervised) VHWs.</t>
  </si>
  <si>
    <t>Program evaluated five community-based youth peer education (YPE) programs. TYPE programs were all linked to a clinic to refer adolescents to HIV testing and RH services. Trained research staff interviewed YPE attendees. The most common activity for PEs was condom distribution, followed by discussion groups and clinc referrals. Authors do not note who leads the YPEs or how many attendees on average are in each program.</t>
  </si>
  <si>
    <t>Peer health workers (PHWs) are people living with HIV and on ART treatment. They were nominated by fellow patients to serve as PHWs and received a two day residential training on basic HIV pathogenesis, prevention, treatment, adherence counseling, performing pill counts, protecting patient confidentiality, and filling out a home visit form. At the clinic, PHWs provided ART counseling and support in group and individual sessions. They also provided home visits to 15 patients each, bi-weekly. 19 PHWs were recruited, trained and deployed at the ten intervention clinics; one to three PHWs were assigned per clinic. 10 PHWs were also deployed a year later. PHWs made about 11,768 home visits over 26 months.</t>
  </si>
  <si>
    <t>Mothers from the intervention community nominated a Care Group Volunteer (CGV) Care Group Volunteer (CGV) who would serve and promote behaviors with mothers throughout the project. Approximately 12 CGVs met together in a Care Group every 2 weeks with a paid project supervisor (called a ‘‘promoter’’) to learn a child_x0002_survival health message or skill.  Over the following 2 weeks, each CGV then met with the 12 pregnant women/mothers of children under 24 months old for whom she was responsible (from 12 nearby households) to share the messages and skills they had learned, using a flipchart with drawings to assist in conveying
the behavior change messages. CGVs met with these women either individually during one-on-one home visits or in small groups in their catchment area. They delivered the entire set of messages over approximately a 2-year period.</t>
  </si>
  <si>
    <t>Students from 15 school who had VPE programs were asked about HIV and RH knowledge. Volunteer Peer Educators (VPEs) are high-school or college/university graduates who have leadership, communication and team building skills. Pairs of VPEs are assigned to live and work at a school for two full terms of an academic year (7–9 months). VPEs receive monthly stipends (approximately 80– 90 US dollars in 2008). They also undergo 3 weeks of residential training, have monthly supervisory vis_x0002_its, and attend a 1-week refresher training that occurs about mid-point during their placement. VPEs also assist with extracurricular activities, youth resource centers and lead a weekly 40-min classroom lesson.</t>
  </si>
  <si>
    <t>The STF School Environment Program. School-based interventions. 1907 outreach to primary schools; 60 to secondary schools.</t>
  </si>
  <si>
    <t>Make-The-Cut-Plus (MTC+), a single, 60-minute, sport_x0002_based intervention to increase VMMC uptake targeting secondary school boys (14–20 years), consisting of an interactive game,a personal story shared by "The Coach" (a trained facilitator), and a group discussion. In the week following intervention delivery, Coaches
follow-up with participants who express interest in receiving VMMC at the end of the interpersonal session via phone call, SMS (short message service), or Whatsapp. Coaches schedule a meeting with a group of participants who, after going through MTC+, had said that they wanted to receive VMMC. Transport to the
clinic is provided for the group. A total of 13 school with 565 male students received the intervention.</t>
  </si>
  <si>
    <t>Evaluation of costs at 4 youth-friendly health centres (YFHC) that provide HIV services. Focus on IEC HIV prevention activities, no details are provided on what IEC activities include.</t>
  </si>
  <si>
    <t xml:space="preserve">207 women’s groups were established. Each was supported by a cluster facilitator through a community mobilisation action cycle of 20 meetings in four phases. Women discussed maternal and child health problems. Facilitators (n=24) were local women aged 20–49 years, literate and with at least one child, selected from the community. They were trained over 11 days, with refresher training every 4 months. The facilitators were paid a salary and were supported by four supervisors who visited them at least twice a month, observed meetings, and provided training and feedback. The facilitators used a manual to implement the womens group lessons. </t>
  </si>
  <si>
    <t>72 female volunteer peer counsellors (two to four per cluster) were selected from communities, and were literate women aged 23–50 years with breastfeeding experience. They identified pregnant women and made five home visits during and after pregnancy. They provided health education about exclusive breastfeeding, infant care, immunisations, prevention of MTCT (PMTCT), and family planning. They also supported women with breast problems and raised awareness of timely care-seeking. Counsellors used an intervention manual and a simple picture book. They were given an initial 5 day and annual refresher training, and attended monthly meetings.</t>
  </si>
  <si>
    <t>Malaria education component: a two-day teacher training workshop carried out by Save the Children personnel (from January to April 2011) to provide malaria education. A total number of 177 teachers from the 40-targeted schools were trained for 2 days. After training, teachers were given 2 weeks to administer lessons,
lead participatory learning activities with pupils and organize a ‘malaria awareness day’, at which students would perform dramas or songs to raise awareness in
their local community</t>
  </si>
  <si>
    <t>The social support component comprised periodic group meetings for adolescent girls and their mothers.These community groups met on a monthly basis and shed light on areas of concern for adolescents. Through Swaasthya’s mediation, these concerns were presented to the women’s groups, and women’s reactions were reported back to the adolescent groups.  Swaasthya recruited young community women as the key implementers around whom much of the program revolved. 895 participants.</t>
  </si>
  <si>
    <t>Observation for Food for the Hungry Mozambique, reached 219,617 women. Care Group Volunteers are responsible for 10-12 mothers of young children in her neighborhood. The Care Group Volunteer is  often identified by the mothers, in collaboration with community leaders. Supervisory field staff establish and administer care groups. Care Group Promoters meet with each Care Group every 2-4 weeks for 2 hours and teaches lessons that include messages and activities for counseling and behavior change for the Care Group Volunteers to share with the women for which she is responsible. During the following 2-4 weeks the Care Group Volunteer meets with each of the women for which she is responsible – either by visiting each woman individually in her home or  meeting with all of the women in their catchment area as a single group or as sub-groups.</t>
  </si>
  <si>
    <t>Observation for World Relief/Rwanda, reached 54451 women. Care Group Volunteers are responsible for 10-12 mothers of young children in her neighborhood. The Care Group Volunteer is  often identified by the mothers, in collaboration with community leaders. Supervisory field staff establish and administer care groups. Care Group Promoters meet with each Care Group every 2-4 weeks for 2 hours and teaches lessons that include messages and activities for counseling and behavior change for the Care Group Volunteers to share with the women for which she is responsible. During the following 2-4 weeks the Care Group Volunteer meets with each of the women for which she is responsible – either by visiting each woman individually in her home or  meeting with all of the women in their catchment area as a single group or as sub-groups.</t>
  </si>
  <si>
    <t>Observation for World Relief Mozambique, reached 101757 women. Care Group Volunteers are responsible for 10-12 mothers of young children in her neighborhood. The Care Group Volunteer is  often identified by the mothers, in collaboration with community leaders. Supervisory field staff establish and administer care groups. Care Group Promoters meet with each Care Group every 2-4 weeks for 2 hours and teaches lessons that include messages and activities for counseling and behavior change for the Care Group Volunteers to share with the women for which she is responsible. During the following 2-4 weeks the Care Group Volunteer meets with each of the women for which she is responsible – either by visiting each woman individually in her home or  meeting with all of the women in their catchment area as a single group or as sub-groups.</t>
  </si>
  <si>
    <t>Observation for World Relief/Malawi. Care Group Volunteers are responsible for 10-12 mothers of young children in her neighborhood. The Care Group Volunteer is  often identified by the mothers, in collaboration with community leaders. Supervisory field staff establish and administer care groups. Care Group Promoters meet with each Care Group every 2-4 weeks for 2 hours and teaches lessons that include messages and activities for counseling and behavior change for the Care Group Volunteers to share with the women for which she is responsible. During the following 2-4 weeks the Care Group Volunteer meets with each of the women for which she is responsible – either by visiting each woman individually in her home or  meeting with all of the women in their catchment area as a single group or as sub-groups.</t>
  </si>
  <si>
    <t>Observation for Plan International/Kenya, reached 110735 women. Care Group Volunteers are responsible for 10-12 mothers of young children in her neighborhood. The Care Group Volunteer is  often identified by the mothers, in collaboration with community leaders. Supervisory field staff establish and administer care groups. Care Group Promoters meet with each Care Group every 2-4 weeks for 2 hours and teaches lessons that include messages and activities for counseling and behavior change for the Care Group Volunteers to share with the women for which she is responsible. During the following 2-4 weeks the Care Group Volunteer meets with each of the women for which she is responsible – either by visiting each woman individually in her home or  meeting with all of the women in their catchment area as a single group or as sub-groups.</t>
  </si>
  <si>
    <t>Group counselling provided for : EDD (expected date of delivery) meetings for women who were close to their expected delivery; women’s sup_x0002_port group meetings (WSG); maternal, neonatal and child health meeting (MNCH); and spouse forum meetings. The program formed these groups with different target groups within the community. Community health volunteers, community health workers, and Program Organizers are trained to lead counseling groups. The duration of EDD meetings was 90 minutes. Duration of each of WSG and MNCH meetings was 45 minutes. A Spouse Forum meeting lasted for 45 minutes. No information on number of attendees to group sessions.</t>
  </si>
  <si>
    <t>ADOPLAFAM peer education program. The peer educators reside in the geographic area of the program and are usually 13 to 22 years of age. Initial recruitment takes place at neighborhood council meetings where peer educators from nearby neighborhoods present role-plays or dramas and explain the role of the peer educators. New peer educators receive an initial three-day training session, followed by several workshops that reinforce the material learned. Peer educators lead a diverse number of activities with youth, parents, teachers, and community leaders, using talks, lectures, home visits, face-to-face meetings, recreational activities, socio-dramas, theatrical presentations, and running/jogging activities. 52 peer educators, 12,428 particpants noted in the cost repository file.</t>
  </si>
  <si>
    <t>Profamilia program selected and trained 240 peer educators. The peer educators work in the geographical areas where they and their families reside. Community and neighborhood leaders, including teachers, suggest candidates to be peer educators. The peer educators reach direct and indirect beneficiaries. Peer educators meet weekly or every 15 days with their direct beneficiaries to teach one or two topics from the manual Hablemos. New peer educators attend a training that lasts about three days at a site with sleeping facilities. Peer educators receive 24 hours of practice, attend “update” workshops every three months, and go to study groups where technical topics are covered in depth. 46,200 particpants in these groups noted in the cost repository file.</t>
  </si>
  <si>
    <t xml:space="preserve">The SEPO Centre peer education program uses peer educators to work in 5 zones who recruit and work with other peer . educators in the zones (in theory, at least 20 others in each zone).  Only some of the super peers have under_x0002_gone training, due to budget cuts; the others learn from those already trained. 21 peer educators active at time of study. Cost repository notes 40,110 participants in this program. </t>
  </si>
  <si>
    <t>A teacher-led, peer-assisted reproductive health curriculum. The curriculum comprised 10 to 15 classroom sessions per year. Annually, teachers from each school received a 1-week training workshop in the delivery of a participatory curriculum that included drama, games, and stories. In each school, 6 pupils per school year were elected to act as class peer educators. Their main role was to perform short drama discussion starters during the classroom sessions, for which
they received 2 days’ training each year. Two or 3 older youth from each community were elected by the advisory committee and trained for 3 weeks to act as Trainer of Peers (TOP). They were responsible for training the class peer educators in the first 2 years of the program and for supporting the class peer educator during after-school clubs. The intervention reached approximately 15,000 school children each year in 62 schools.</t>
  </si>
  <si>
    <t>A school program implmented in 66 schools, trained 148 teachers, 3500 students were exposed to the intervention. Taught HIV prevention. No further details provided</t>
  </si>
  <si>
    <t>Peer educators provide services to about 25–50 people each, sharing prevention information, distributing supplies (condoms and lubricants) and providing referral for STI management. No additional details provided and cannot find this exact unit cost in excel database.</t>
  </si>
  <si>
    <t xml:space="preserve">Community mobilisation intervention involves participatory women’s groups mobilising communities around maternal and neonatal health, using volunteer facilitators supported by programme staff. 729 groups were set up, facilitated by 81 volunteers (who received bicycles, monthly bicycle maintenance allowances and supervision from 9 salaried MaiKhanda staff ). Each group met monthly for an average of 16 times and strategies adopted included bicycle ambulances, vegetable gardens, health education, village savings and loans, and bednets. The average women's group size was 29 members in Kasungu, 37 in Lilongwe and 24 in Salima
</t>
  </si>
  <si>
    <t>NGO partnered with existing community groups, 265 community groups total, such as school-based clubs. No further details provided on the specific groups.</t>
  </si>
  <si>
    <t>Active participation group: Led by a team of three trained nurses. Educational and particpatory mothers groups. The "multiple intelligences" intervention (104 pregnant women) has 10 education sessions each. Each session lasted between 2 and 3 hours and took place at mother's clubs. Both interventions focused on EB benefits. RGroup facilitated active  participation with group, playful, and experiential dynamics</t>
  </si>
  <si>
    <t xml:space="preserve">Educational mothers groups. The "traditional" educational intervention (113 pregnant women) has 10 education sessions each. Each session lasted between 2 and 3 hours and took place at mother's clubs. Focused on EB benefits. Leaflets, flip charts, videos, posters, bro_x0002_chures, mockups, whiteboard and markers 
of passive and static application. </t>
  </si>
  <si>
    <t>Girls clubs: Community_x0002_based mentors who were recruited and trained by the project identified eligible girls by going houseto-house. Girls were given supplies once per year at the beginning of the school year. In Tanzania, girls were given the choice of receiving a school uniform or school supplies. Tanzanian girls could attend Smart Girls’ Clubs, which were after-school clubs that included life skills, reproductive health information, and tutoring. 1,617 registered in Tanzania. Does not specify who ran the clubs or long they lasted.</t>
  </si>
  <si>
    <t xml:space="preserve">Pregnant women received two major intervention components–personally scheduled SMS reminders for four ANC visits and CHRWs’ (n=35) home visit reminders before each visit implemented to promote care-seeking for ANC, skilled birth attendance or facility delivery, and postnatal care. </t>
  </si>
  <si>
    <t>Alive and Thrive: A&amp;T supported training for 1513 facilitators and the establishing 801 IYCF support groups in 267 villages across nine provinces. The hour-long support group meetings typically included 10–15 participants. Facilitators were trained on recommended IYCF practices, the use of job-aids and other materials, and skills to facilitate group discussions. Provincial and district health trainers trained facilitators, while district and commune health staff provided supportive supervision. Exclusive and complementry feeding groups met once a month and community support groups met twice a month.</t>
  </si>
  <si>
    <t xml:space="preserve">MSM from the local community were  given training to be peer educators or  leaders. The leaders then worked  proactively in educating peer MSM 
(one on one or in a group) as well as  teenagers (in a group) about HIV/AIDS  at the community-based center (beauty  salon) with the aim of improving their  knowledge and attitude. Implemented 4 activities per month. </t>
  </si>
  <si>
    <t>Once a month education course. NGO staff recruited those who volunteered to be trained as the project  participants. The training topics such as 
prevention of HIV/AIDS and STI. Outreach activities and awareness campaigns were organized. Volunteers were not involved in organizing these 
activities apart from their participation.</t>
  </si>
  <si>
    <t xml:space="preserve">Diabetes reduction. The intervention group received a 12-month peer-support lifestyle intervention involving 15 group sessions delivered in community settings by 2 (per group) trained lay peer leaders. Trained peer leaders (one male and one female per group), who were identified from within the group, delivered 12 sessions (60–90 min/session) at 1-month intervals on average. The peer group size varied from 10 to 23 participants.There were also linked community activities to sustain behavior change. Participants received resource materials including a handbook, a workbook, and a health education booklet to improve their knowledge on diabetes, risk factors, and prevention strategies </t>
  </si>
  <si>
    <t>Medium - monthly led by VHWs</t>
  </si>
  <si>
    <t>Low - one trained promoter</t>
  </si>
  <si>
    <t>Medium - little information but looks to be peer driven</t>
  </si>
  <si>
    <t>High - biweekly visits</t>
  </si>
  <si>
    <t>High - extensive training and weekly visits</t>
  </si>
  <si>
    <t>Medium - little information</t>
  </si>
  <si>
    <t>Low - one session</t>
  </si>
  <si>
    <t>High - 20 sessions with extensive training</t>
  </si>
  <si>
    <t>Medium - 5 sessions</t>
  </si>
  <si>
    <t>High - 34 sessions</t>
  </si>
  <si>
    <t>Medium - volunteers with repeat visits (every 2 weeks)</t>
  </si>
  <si>
    <t>Medium - 2 day training with 2 weeks of sessions</t>
  </si>
  <si>
    <t>Medium - 7 days of sessions</t>
  </si>
  <si>
    <t>Medium - met every 2-4 weeks</t>
  </si>
  <si>
    <t>Medium - peers with repeat contacts</t>
  </si>
  <si>
    <t>Low - high ratio of trainers to attendees (&gt;100)</t>
  </si>
  <si>
    <t>High - low ratio of counselors to attendees (&lt;25)</t>
  </si>
  <si>
    <t>High - 16 times with low group ratio</t>
  </si>
  <si>
    <t>High - 10 sessions 2-3 hours each</t>
  </si>
  <si>
    <t>Medium - for more intensive program with 3% cost</t>
  </si>
  <si>
    <t>Low - for light-touch program at 1% of cost</t>
  </si>
  <si>
    <t>Low - little detail but indicates just one activity</t>
  </si>
  <si>
    <t>Medium - 150-200 attendees</t>
  </si>
  <si>
    <t>Medium  - 150-200</t>
  </si>
  <si>
    <t>Medium - 12 billboards</t>
  </si>
  <si>
    <t>High - had a drama consultant and multiple events</t>
  </si>
  <si>
    <t>Low - posters only</t>
  </si>
  <si>
    <t>Medium - 47 issues</t>
  </si>
  <si>
    <t>Medium - 519 shows; 52 episodes?</t>
  </si>
  <si>
    <t>Low - few details, but was a very small piece of the overall campaign</t>
  </si>
  <si>
    <t>High - 26 episodes; substantial component of the campaign</t>
  </si>
  <si>
    <t xml:space="preserve">Low - few details but small component of overall campaign </t>
  </si>
  <si>
    <t>High - represents all mass media - with TV driving high intensity</t>
  </si>
  <si>
    <t>Medium - 208 episodes</t>
  </si>
  <si>
    <t>Medium - 104 episodes</t>
  </si>
  <si>
    <t>Medium - 156 episodes</t>
  </si>
  <si>
    <t>Low - 4 tv spots</t>
  </si>
  <si>
    <t>Low - few details, but looks to be linked with TV campaign</t>
  </si>
  <si>
    <t>Study Year</t>
  </si>
  <si>
    <t>Medium - 52 episodes</t>
  </si>
  <si>
    <t>Medium - recurring program - weekly</t>
  </si>
  <si>
    <t>low - tv adverts</t>
  </si>
  <si>
    <t>medium - involved production of drama</t>
  </si>
  <si>
    <t>low - one tv spot repeatedly aired</t>
  </si>
  <si>
    <t>high - multimethods - folk songs, street drama, billboards, tv</t>
  </si>
  <si>
    <t>high - created weekly content</t>
  </si>
  <si>
    <t>medium - tv spots, 9 different ones</t>
  </si>
  <si>
    <t>medium - little data available; study did not monitor how radio spots were used</t>
  </si>
  <si>
    <t>high - multiple platforms and high intensity distribution</t>
  </si>
  <si>
    <t>high - serialized drama with produced discussion guides</t>
  </si>
  <si>
    <t>medium - few details</t>
  </si>
  <si>
    <t>medium - 3 to 4 times a year with mixed materials</t>
  </si>
  <si>
    <t>high - many spots + 2 hour show</t>
  </si>
  <si>
    <t>high - 30 public service announcements (tv and radio)</t>
  </si>
  <si>
    <t>low - one advert</t>
  </si>
  <si>
    <t xml:space="preserve">medium - few details </t>
  </si>
  <si>
    <t>Three components: 1) Togo Red Cross (TRC) volunteers conducted house-to-house visits. Volunteers visited approximately 15 households per day, each home was visited once. During each visit, the volunteers, supplied with string and nails, physically assisted households with hanging ITNs and delivered standardized messages on malaria, the importance of using an ITN, and corrections of misconceptions regarding malaria and ITNs. 2) Ten of these communities received a second round of home visits from TRC volunteers to reinforce the same key standardized messages regarding the importance of using an ITN and its care. 3) Five of these communities then recevied a third visit reinforcing the same messages to each household.</t>
  </si>
  <si>
    <t>Women received home visits by auxillary nurse midwives (ANMs) each month for 2 years to discuss modern methods of family planning. No information on length of individual visits.</t>
  </si>
  <si>
    <t>One “hang-up visit”; All households in intervention received one visit by members of the Village Health Team (VHT) four months after the LLIN distribution. Visits consisted of physical assistance with hanging the net, and educational messages on net use. VHTs were trained to use a job aid during home visits.</t>
  </si>
  <si>
    <t>ARM 2: Two “hang-up visits”; As arm 1 (one visit by VHT to hang net and give educational malarai message), but with an additional, second home visit by the VHT seven months post distribution.</t>
  </si>
  <si>
    <t>Cost of VMMC Education and HCT. Clients visited a mobile VMMC site and received education and counseling/testing. No details on length of counseling or education.</t>
  </si>
  <si>
    <t>Mobile VMMC clinics that provided VMMC education and VCT. No details on length of counseling or education.</t>
  </si>
  <si>
    <t xml:space="preserve">Case management program for ART patients with adherence issues. Case managers are trained using a national curriculum, and are high school graduates with modest experience in community health. The case management services consist of adherence counseling and support; health education; peer support; and referral of clients to community based organizations. Average duration of using CM services was 2-3 months per client. No details on individual sessions, length of counseling, etc. </t>
  </si>
  <si>
    <t>Mothers in the first treatment group received information about vaccination framed as a gain and mothers in the second treatment group received information framed in terms of a loss. The messages were delivered via home visits by field staff who were trained to use a script . The intervention took about 10 minutes to deliver.</t>
  </si>
  <si>
    <t>An social worker, "patient tracer" was instructed to use all available contact information to locate ART patients; discuss the patient’s situation by phone or in person; and, following pre-established guidelines, assist the patient to return to care. Tracer worked for 4 months but authors do not specify how many contacts each client had with the tracer. Patients were called an average of 1.8 times, per patient.</t>
  </si>
  <si>
    <t>Community Health Workers provided BCC messages during their regular field visits and when providing MNCH servicesdelivery of BCC messages, including: pregnancy identification; pregnancy confirmation; antenatal care visits; delivery care at birthing huts; and post-natal care visits. CHWs spent between 5-24 minutes delivery these messages, per household.</t>
  </si>
  <si>
    <t>Review of eight IPC interventions. IPC delivered to small groups of individuals (&lt; 25 people) in urban and  rural areas with a series of targeted messages on key drivers of HIV. This was done primarily through in_x0002_depth interpersonal HIV prevention sessions conducted by trained facilitators, peer-educators, or  volunteers using interactive tools such as training guides, picture codes, MCP flannelgrams (i.e., visual illustration of how sexual networks are formed), posters, etc. Based on the targeted audiences, IPC  activities were delivered in household, workplace, school and out-of-school, and other settings.</t>
  </si>
  <si>
    <t>The program recruits peer educators during one-day mobilization workshops held in the communities. The peer educators use focus group discussions, dramas, one-on-one counseling, sensitization and awareness programs, videos, debates, quizzes, local radio and television programs, and printed  materials. They also work at two clinic sites providing referrals for youth at youth-friendly corners. There are about 30 peer educators, aged 17 to 25 years, who have been in the program for three to seven years. No information on individual intensity.</t>
  </si>
  <si>
    <t xml:space="preserve">Counselling includes informing key populations about HIV/AIDS and referring them to HIV testing facilities. The program is performed 26 times a
month by both paid workers and volunteers, who visit HIV hotspots like malls, parks, and gyms and have a chat, hand out information packages, or refer individuals at risk to HIV testing facilities. A total number of 133 meetings were conducted in 11 community-health centres and one HIV/AIDS clinic. </t>
  </si>
  <si>
    <t>Clinic‐linked, lay community health workers provided support to ART patients from the time of pre‐ART preparation and continued throughout long‐term care. Patient, family and household issues were dealt with. Participants were scheduled for weekly visits during the first months following ART initiation, then monthly for at least six months. Once stable, home visits were performed at least quarterly. CBS-workers had a specific geographic area which they supported and were assigned 80 to 120 patient each.</t>
  </si>
  <si>
    <t>200 TBAs were rebranded as health promoters and received a 2-week training on the promotion of birth preparedness, complication readiness and newborn care and regularly conducted home visits. During these home visits, they gave health promotion messages, checked for maternal and newborn complications and provided referrals to health facilities. No information on length or number of home visits per client.</t>
  </si>
  <si>
    <t xml:space="preserve">All children in the intervention group were educated on how to reduce salt intake through an 8-lesson salt reduction education program. The lessons were all delivered during one school semester by health education teachers, through the mandatory health education lessons (a 40-minute lesson, every two weeks). Children were assigned homework to further educate their families with tools such as newsletters, calendars, stickers, etc. bearing key educational messages for home cooking as “health ambassadors”. Some children also motniored their family's salt containers. </t>
  </si>
  <si>
    <t xml:space="preserve">Two groups: either 3-monthly (PLSM, peer led)) or 12-monthly (CLSM, control led) peer-educator advice aimed at reducing weight, improving diet, reducing psychological  stress and increasing physical activity. The P-LSM group was offered four one-on-one sessions annually with trained peer educators who provided individualized lifestyle modifcation advice. </t>
  </si>
  <si>
    <t>Two groups: either 3-monthly (PLSM, peer led)) or 12-monthly (CLSM, control led) peer-educator advice aimed at reducing weight, improving diet, reducing  The C-LSM group was offered one annual one-on-one session with trained peer educators. Participants were followed up over a median of 3 years.</t>
  </si>
  <si>
    <t>Participants received individual counseling with the support of informative and illustrative leaflets, aiming to increase physical activity levels. Intervention was delivered in 5 face-to-face meetings with approximately 20 minutes long over 1 year. Participants received a different leaflet for each meeting containing specific information.</t>
  </si>
  <si>
    <t xml:space="preserve">Trained health care providers conducted training for out-of-school peer educators. A total of 132 adolescents were initially trained as peer educators to work at health facilities and in the community. The peer educators conducted individual and group discussions with their peers. Both the health 
facility and community-based peer educators also used drama, songs and poems to increase their education and outreach. Peer educators used various IEC materials to educate and discuss sexual and reproductive health issues with their peers. These included videotapes, booklets, leaflets, fact sheets, game boards and guides for developing skits. They also organized sports activities for out-of-school youth as opportunities to communicate appropriate messages. </t>
  </si>
  <si>
    <t>Group meetings and health promotion. More information on intervention provided in Manandhar 2004 --"The ﬁrst step of the intervention was to discuss issues around childbirth and care behaviours in the community, which allowed facilitators to develop participatory learning skills and generated information on pregnancy and childbirth, covering beliefs and practices in both uncomplicated and complicated pregnancies. The facilitators then supported the women’s groups through monthly meetings. This phase of ten meetings lasted almost a year. In the next steps of the intervention, the women’s groups implemented and assessed their strategies. One result of the process was that women sought more information about perinatal health. This information was provided through the iterative design and playing of a picture card game that addressed prevention, treatment, and consultation for typical problems in mothers and babies."</t>
  </si>
  <si>
    <t xml:space="preserve">LINKAGES program included: Workshops to train trainers among MOH and NGO partner organizations who then trained public and private health providers and community volunteers in nutrition and behavior change communication. Additional training for community leaders, womens groups leaders, developed IEC materials including pamphlets and health cards. Used these community leaders to then spread information throughout their own communities. Program also sued community-based volunteers, including women’s groups, to disseminate nutrition messages and assist women in adopting improved health behaviors. </t>
  </si>
  <si>
    <t>Integrated Prevention Campaign for malaria (bednets), diarrheal diseases (filters), and HIV (VCT and condoms). Social mobilization component involved meetings with village leaders, and designing and executing media (e.g., posters and radio).</t>
  </si>
  <si>
    <t xml:space="preserve">Once a year, the NGO KPA Bandung organized a training on HIV/AIDS which was given to every district in Bandung (30 in total). Per district, three 
persons received the training from KPA; 2 imams and one additional "person in society". In turn, the Imams passed their  obtained knowledge about HIV/AIDS to the visitors of their religious gatherings. During one religious gathering a group of 10-20 persons attended. During the religious based IEC, 60 mosques and 1,200 
visitors were reached. </t>
  </si>
  <si>
    <t xml:space="preserve">Community facilitators were recruited fromproject communities and trained for 5 days using a facilitation manual. After training, facilitators mobilized community discussion groups composed of roughly 30 members containing across-section of the community. Groups were taken through a 16-week curriculum that included both educational and action-oriented components. There was also a school supply component in which mentors would register school aged girls to receive supplies and hold community ceremonies to educate public on importance of girls education.
</t>
  </si>
  <si>
    <t>Community and religious leaders received 2 days of training on the benefits of delaying mar_x0002_riage and promoting girls’ education. Leaders were trained on how to facilitate discussions and deliver messages and were asked to pass messages in their villages or places of worship. There was also a school supply component in which mentors would register school aged girls to receive supplies and hold community ceremonies to educate public on importance of girls education.</t>
  </si>
  <si>
    <t xml:space="preserve">Study facilitators met with community members to socialize biological, entomological, epidemiological and economic evidence related to dengue transmission, prevention and control. Communities then decided on communication strategies to raise dengue awareness. Additionally, community volunteers were trained as organizers and educators to visit households and schools to engage their communities in various activities to learn about dengue transmission including subjects such as mosquito lifecycle, reproduction, and breeding sites. </t>
  </si>
  <si>
    <t>Bertrand J</t>
  </si>
  <si>
    <t>A total of six, 30-45 second radio spots aired eight times daily from July 1983-May 1984. An additional 36 micro programs were produced that procvided vasectomy information. These ran once every two weeks. A male promoter component was also trained to organize groups of medn in the community to discuss family planning and vasectomies.</t>
  </si>
  <si>
    <t>Ghana</t>
  </si>
  <si>
    <t xml:space="preserve">LINAKGES provided workshops to train trainers from among the NGO and MOH partner organizations. These trainers then trained mothers’ support group leaders, as well as other health and community health staff in BCC techniques. LINKAGES also funded development of promotional materials such as calendars and T-shirts that were distributed at the regional, district and community  level. Lastly, LINKAGES sponsored Breastfeeding Week events and radio broadcasts promoting 
recommended infant feeding practices. </t>
  </si>
  <si>
    <t xml:space="preserve">Hess </t>
  </si>
  <si>
    <t xml:space="preserve">Mix of SBC interventions: street theatre, tables/stalls, IPC after street theatre. Includes street theatre with accompanying IPC and float/van, tables, </t>
  </si>
  <si>
    <t>In the one-onone IEC component, Swaasthya field workers initiated discussions on reproductive and sexual health, adolescence, and other issues the girls and Swaasthya identified as important. This interaction took place with girls individually or in small groups. Then, a videographer developed videos as multi-episode, magazine-style programs on adolescent and community issues, health and social concerns, news from the community and entertainment spots. They were screened in the pilot phase but not thereafter.</t>
  </si>
  <si>
    <t>There are eight different community mobilization (CM) activities, the unit cost is an average of community mobilization cost per person across all eight. "Community members are identified and trained in NawaSport Coaches Guide, a Namibian adaptation of an international soccer and life-skills curriculum. Trained coaches then work with formal and informal soccer teams through 12 training sessions. NawaCinema was another interactive platform used to educate and entertain communities with HIV prevention-related messaging. The featured films used include real-life and personal stories of people in the field of HIV, bringing a true-to-life aspect to the program"</t>
  </si>
  <si>
    <t>An information, education and communication intervention, both community and school based, to strengthen public and private STI treatment, condom social marketing and voluntary counseling and testing. IEC was implemented at the community level. The main intervention components were general community meetings in conjunction with dramas, video shows, education via community based volunteers, and a shorter schools program. A comprehensive acquired immunodeﬁciency syndrome education program was implemented in 66 schools staggered over the 12 parishes between 1996 and 1998. In total, 148 teachers were trained. The curriculum consisted of 19 program activities for students aged 12 to 16 to be covered during scheduled classroom time or as an extracurricular activity. No additional detail provided on radio/drama portion of intervention.</t>
  </si>
  <si>
    <t>C-134</t>
  </si>
  <si>
    <t>The package of core HIV prevention services provided by the Avahan NGOs in both districts includes outreach through peers, behaviour change communication, condom distribution, and clinical services for sexually transmitted infections (STIs). Peer educators provided services to about 25–50 people each, sharing prevention information, distributing supplies (condoms and lubricants) and providing referral for STI management. There were also multiple "community sensitization" activities including the development of drop in centers, district-level FSW support groups,  conventions to encourage community members to interact with other FSWs in different villages and the provision of legal empowerment sessions.</t>
  </si>
  <si>
    <t>C-141</t>
  </si>
  <si>
    <t>Belarus</t>
  </si>
  <si>
    <t xml:space="preserve">Mix of approaches: IEC materials, needle/syringe/condoms distribution, mass media messages, lawyer consultation, rehabilitation centre, narcotics anonymous group. Interventions delivered through Needle Exchange Points -- 2 NEPs were established near areas with the highest concentration of NEPs. Through NEPs, IDUs received commodities and referred to consultations with doctors, laywers, and counselors, as well as group counseling at a narcology center. Meetings were run by a former IDU and held every weekday for up to 10 people, with the aim to stop drug use. 10 types of IEC materials  were prepared with information on STDs, HIV/AIDS, safe sex and the use of syringes. A local TV station broadcast 8 short spots on drug use and AIDS -- featuring speeches by former IDUs and doctors. </t>
  </si>
  <si>
    <t>C-168</t>
  </si>
  <si>
    <t>Goudet</t>
  </si>
  <si>
    <t>Vassall</t>
  </si>
  <si>
    <t xml:space="preserve">Walker </t>
  </si>
  <si>
    <t>Intervention included home-based counselling for pregnant women, monthly home-based counselling for caretakers of infants below six months of age for promotion of appropriate feeding practices, monthly growth monitoring for all infants aged 0–3 years, and community awareness and capacity building of community health workers (30 of whom were trained). Community activities, often in conjunction with government and international campaigns (e.g. breastfeeding week), were organized to raise awareness.</t>
  </si>
  <si>
    <t>C-190</t>
  </si>
  <si>
    <t>Locally-tailored demand creation activities (including mass media, community mobilization, and targeted service delivery) in increasing uptake of campaign-delivered VMMC among men aged 20–34 years. Activities included: (1) demand creation communication stressing non-HIV benefits of VMMC and the voluntary nature of HIV testing services before VMMC. This included radio spots advertising VMMC services, a vehicle with a megaphone visiting communities, flyers, and information distributed at football games; (2) additional peer promoters and the involvement of 2 circumcised men from the community as auxiliary peer promoters; (3) separate waiting and group education areas for men aged $20 years during service delivery; (4) engagement of female partners in community-based demand creation and education about post-circumcision healing and abstinence.</t>
  </si>
  <si>
    <t>C-193</t>
  </si>
  <si>
    <t>USAID</t>
  </si>
  <si>
    <t>Campaign components included television and radio advertisements or spots, a radio drama series called Life at the Turnoff, a television drama series called Love Games, interpersonal communication community activities (e.g., small-group and one-on-one discussions, radio listening clubs), social media outlets (e.g., campaign website, Facebook, Twitter), and outdoor and small mass media (e.g., billboards, posters, fliers)</t>
  </si>
  <si>
    <t>C-197</t>
  </si>
  <si>
    <t>Holmes</t>
  </si>
  <si>
    <t>Torres-Rueda</t>
  </si>
  <si>
    <t>VIP Facebook Club:  VIP Facebook page by invite only: Exclusive group access to a Facebook page for those between 25 and 49 years. Those in the club received information on men’s health from a clinician and had a platform to ask questions that they found difficult to pose in a group. Community meetings: a discussion forum that men attended before they were invited to be circumcised. During this discussion, information on the MMC procedure was provided. Demand generation materials: Outreach branded messages, materials and male adverts that were tailored specifically to address the issues of men (aged 25–49 years) and MMC. These included billboards, pamphlets, posters and branded condoms.</t>
  </si>
  <si>
    <t xml:space="preserve">The CAC is Save the Children’s process of the "community action cycle". CAC involved mobilizing influential figures, including community leaders, VHTs, child protection volunteers. Groups discussed problems in the community related to gender equality, adolescent  Sexual and Reproductive Health and gender-based violence. CAC's used mini-dramas to introduce sensitive information and made community action plans to correct these issues. </t>
  </si>
  <si>
    <t>Intensity cat</t>
  </si>
  <si>
    <t>Medium</t>
  </si>
  <si>
    <t>Low</t>
  </si>
  <si>
    <t>High</t>
  </si>
  <si>
    <t xml:space="preserve">Medium </t>
  </si>
  <si>
    <t>High - added the layering</t>
  </si>
  <si>
    <t>Medium - few details</t>
  </si>
  <si>
    <t>High - groups ran for two year</t>
  </si>
  <si>
    <t>C-154</t>
  </si>
  <si>
    <t>Low - meeting once a month</t>
  </si>
  <si>
    <t>Medium - four activities per month</t>
  </si>
  <si>
    <t>Low - once a month</t>
  </si>
  <si>
    <t>IPC + other</t>
  </si>
  <si>
    <t>Low - focused on peers</t>
  </si>
  <si>
    <t>Medium - 10 meetings</t>
  </si>
  <si>
    <t>Low - volunteer led</t>
  </si>
  <si>
    <t>In-country NGO</t>
  </si>
  <si>
    <t>Western Hemisphere</t>
  </si>
  <si>
    <t>Not specified</t>
  </si>
  <si>
    <t>Economic (Financial available)</t>
  </si>
  <si>
    <t>per other unit</t>
  </si>
  <si>
    <t>per person in area/targeted</t>
  </si>
  <si>
    <t>International NGO</t>
  </si>
  <si>
    <t xml:space="preserve">SMS/phone </t>
  </si>
  <si>
    <t>Cat_median</t>
  </si>
  <si>
    <t>Country Name</t>
  </si>
  <si>
    <t>Country Code</t>
  </si>
  <si>
    <t>Afghanistan</t>
  </si>
  <si>
    <t>AFG</t>
  </si>
  <si>
    <t>Albania</t>
  </si>
  <si>
    <t>ALB</t>
  </si>
  <si>
    <t>Algeria</t>
  </si>
  <si>
    <t>DZA</t>
  </si>
  <si>
    <t>American Samoa</t>
  </si>
  <si>
    <t>ASM</t>
  </si>
  <si>
    <t>..</t>
  </si>
  <si>
    <t>Angola</t>
  </si>
  <si>
    <t>AGO</t>
  </si>
  <si>
    <t>Argentina</t>
  </si>
  <si>
    <t>ARG</t>
  </si>
  <si>
    <t>Armenia</t>
  </si>
  <si>
    <t>ARM</t>
  </si>
  <si>
    <t>Azerbaijan</t>
  </si>
  <si>
    <t>AZE</t>
  </si>
  <si>
    <t>BGD</t>
  </si>
  <si>
    <t>BLR</t>
  </si>
  <si>
    <t>Belize</t>
  </si>
  <si>
    <t>BLZ</t>
  </si>
  <si>
    <t>BEN</t>
  </si>
  <si>
    <t>Bhutan</t>
  </si>
  <si>
    <t>BTN</t>
  </si>
  <si>
    <t>Bolivia</t>
  </si>
  <si>
    <t>BOL</t>
  </si>
  <si>
    <t>Bosnia and Herzegovina</t>
  </si>
  <si>
    <t>BIH</t>
  </si>
  <si>
    <t>Botswana</t>
  </si>
  <si>
    <t>BWA</t>
  </si>
  <si>
    <t>BRA</t>
  </si>
  <si>
    <t>Bulgaria</t>
  </si>
  <si>
    <t>BGR</t>
  </si>
  <si>
    <t>BFA</t>
  </si>
  <si>
    <t>BDI</t>
  </si>
  <si>
    <t>Cabo Verde</t>
  </si>
  <si>
    <t>CPV</t>
  </si>
  <si>
    <t>Cambodia</t>
  </si>
  <si>
    <t>KHM</t>
  </si>
  <si>
    <t>CMR</t>
  </si>
  <si>
    <t>Central African Republic</t>
  </si>
  <si>
    <t>CAF</t>
  </si>
  <si>
    <t>Chad</t>
  </si>
  <si>
    <t>TCD</t>
  </si>
  <si>
    <t>CHN</t>
  </si>
  <si>
    <t>Colombia</t>
  </si>
  <si>
    <t>COL</t>
  </si>
  <si>
    <t>Comoros</t>
  </si>
  <si>
    <t>COM</t>
  </si>
  <si>
    <t>Congo, Dem. Rep.</t>
  </si>
  <si>
    <t>COD</t>
  </si>
  <si>
    <t>Congo, Rep.</t>
  </si>
  <si>
    <t>COG</t>
  </si>
  <si>
    <t>Costa Rica</t>
  </si>
  <si>
    <t>CRI</t>
  </si>
  <si>
    <t>CIV</t>
  </si>
  <si>
    <t>Cuba</t>
  </si>
  <si>
    <t>CUB</t>
  </si>
  <si>
    <t>Djibouti</t>
  </si>
  <si>
    <t>DJI</t>
  </si>
  <si>
    <t>Dominica</t>
  </si>
  <si>
    <t>DMA</t>
  </si>
  <si>
    <t>DOM</t>
  </si>
  <si>
    <t>Ecuador</t>
  </si>
  <si>
    <t>ECU</t>
  </si>
  <si>
    <t>EGY</t>
  </si>
  <si>
    <t>El Salvador</t>
  </si>
  <si>
    <t>SLV</t>
  </si>
  <si>
    <t>Equatorial Guinea</t>
  </si>
  <si>
    <t>GNQ</t>
  </si>
  <si>
    <t>Eritrea</t>
  </si>
  <si>
    <t>ERI</t>
  </si>
  <si>
    <t>SWZ</t>
  </si>
  <si>
    <t>ETH</t>
  </si>
  <si>
    <t>FJI</t>
  </si>
  <si>
    <t>Gabon</t>
  </si>
  <si>
    <t>GAB</t>
  </si>
  <si>
    <t>Gambia, The</t>
  </si>
  <si>
    <t>GMB</t>
  </si>
  <si>
    <t>Georgia</t>
  </si>
  <si>
    <t>GEO</t>
  </si>
  <si>
    <t>GHA</t>
  </si>
  <si>
    <t>Grenada</t>
  </si>
  <si>
    <t>GRD</t>
  </si>
  <si>
    <t>GTM</t>
  </si>
  <si>
    <t>Guinea</t>
  </si>
  <si>
    <t>GIN</t>
  </si>
  <si>
    <t>Guinea-Bissau</t>
  </si>
  <si>
    <t>GNB</t>
  </si>
  <si>
    <t>Guyana</t>
  </si>
  <si>
    <t>GUY</t>
  </si>
  <si>
    <t>Haiti</t>
  </si>
  <si>
    <t>HTI</t>
  </si>
  <si>
    <t>Honduras</t>
  </si>
  <si>
    <t>HND</t>
  </si>
  <si>
    <t>IND</t>
  </si>
  <si>
    <t>IDN</t>
  </si>
  <si>
    <t>Iran, Islamic Rep.</t>
  </si>
  <si>
    <t>IRN</t>
  </si>
  <si>
    <t>Iraq</t>
  </si>
  <si>
    <t>IRQ</t>
  </si>
  <si>
    <t>Jamaica</t>
  </si>
  <si>
    <t>JAM</t>
  </si>
  <si>
    <t>Jordan</t>
  </si>
  <si>
    <t>JOR</t>
  </si>
  <si>
    <t>Kazakhstan</t>
  </si>
  <si>
    <t>KAZ</t>
  </si>
  <si>
    <t>KEN</t>
  </si>
  <si>
    <t>Kiribati</t>
  </si>
  <si>
    <t>KIR</t>
  </si>
  <si>
    <t>PRK</t>
  </si>
  <si>
    <t>Kosovo</t>
  </si>
  <si>
    <t>XKX</t>
  </si>
  <si>
    <t>Kyrgyz Republic</t>
  </si>
  <si>
    <t>KGZ</t>
  </si>
  <si>
    <t>Lao PDR</t>
  </si>
  <si>
    <t>LAO</t>
  </si>
  <si>
    <t>Lebanon</t>
  </si>
  <si>
    <t>LBN</t>
  </si>
  <si>
    <t>Lesotho</t>
  </si>
  <si>
    <t>LSO</t>
  </si>
  <si>
    <t>Liberia</t>
  </si>
  <si>
    <t>LBR</t>
  </si>
  <si>
    <t>Libya</t>
  </si>
  <si>
    <t>LBY</t>
  </si>
  <si>
    <t>MDG</t>
  </si>
  <si>
    <t>MWI</t>
  </si>
  <si>
    <t>MYS</t>
  </si>
  <si>
    <t>Maldives</t>
  </si>
  <si>
    <t>MDV</t>
  </si>
  <si>
    <t>MLI</t>
  </si>
  <si>
    <t>Marshall Islands</t>
  </si>
  <si>
    <t>MHL</t>
  </si>
  <si>
    <t>Mauritania</t>
  </si>
  <si>
    <t>MRT</t>
  </si>
  <si>
    <t>Mauritius</t>
  </si>
  <si>
    <t>MUS</t>
  </si>
  <si>
    <t>MEX</t>
  </si>
  <si>
    <t>Micronesia, Fed. Sts.</t>
  </si>
  <si>
    <t>FSM</t>
  </si>
  <si>
    <t>MDA</t>
  </si>
  <si>
    <t>Mongolia</t>
  </si>
  <si>
    <t>MNG</t>
  </si>
  <si>
    <t>Montenegro</t>
  </si>
  <si>
    <t>MNE</t>
  </si>
  <si>
    <t>Morocco</t>
  </si>
  <si>
    <t>MAR</t>
  </si>
  <si>
    <t>MOZ</t>
  </si>
  <si>
    <t>Myanmar</t>
  </si>
  <si>
    <t>MMR</t>
  </si>
  <si>
    <t>NAM</t>
  </si>
  <si>
    <t>Nauru</t>
  </si>
  <si>
    <t>NRU</t>
  </si>
  <si>
    <t>NPL</t>
  </si>
  <si>
    <t>NIC</t>
  </si>
  <si>
    <t>Niger</t>
  </si>
  <si>
    <t>NER</t>
  </si>
  <si>
    <t>NGA</t>
  </si>
  <si>
    <t>North Macedonia</t>
  </si>
  <si>
    <t>MKD</t>
  </si>
  <si>
    <t>Pakistan</t>
  </si>
  <si>
    <t>PAK</t>
  </si>
  <si>
    <t>Papua New Guinea</t>
  </si>
  <si>
    <t>PNG</t>
  </si>
  <si>
    <t>Paraguay</t>
  </si>
  <si>
    <t>PRY</t>
  </si>
  <si>
    <t>PER</t>
  </si>
  <si>
    <t>PHL</t>
  </si>
  <si>
    <t>Romania</t>
  </si>
  <si>
    <t>ROU</t>
  </si>
  <si>
    <t>Russian Federation</t>
  </si>
  <si>
    <t>RUS</t>
  </si>
  <si>
    <t>RWA</t>
  </si>
  <si>
    <t>Samoa</t>
  </si>
  <si>
    <t>WSM</t>
  </si>
  <si>
    <t>STP</t>
  </si>
  <si>
    <t>Senegal</t>
  </si>
  <si>
    <t>SEN</t>
  </si>
  <si>
    <t>Serbia</t>
  </si>
  <si>
    <t>SRB</t>
  </si>
  <si>
    <t>SLE</t>
  </si>
  <si>
    <t>Solomon Islands</t>
  </si>
  <si>
    <t>SLB</t>
  </si>
  <si>
    <t>Somalia</t>
  </si>
  <si>
    <t>SOM</t>
  </si>
  <si>
    <t>ZAF</t>
  </si>
  <si>
    <t>South Sudan</t>
  </si>
  <si>
    <t>SSD</t>
  </si>
  <si>
    <t>LKA</t>
  </si>
  <si>
    <t>St. Lucia</t>
  </si>
  <si>
    <t>LCA</t>
  </si>
  <si>
    <t>St. Vincent and the Grenadines</t>
  </si>
  <si>
    <t>VCT</t>
  </si>
  <si>
    <t>Sudan</t>
  </si>
  <si>
    <t>SDN</t>
  </si>
  <si>
    <t>Suriname</t>
  </si>
  <si>
    <t>SUR</t>
  </si>
  <si>
    <t>Syrian Arab Republic</t>
  </si>
  <si>
    <t>SYR</t>
  </si>
  <si>
    <t>Tajikistan</t>
  </si>
  <si>
    <t>TJK</t>
  </si>
  <si>
    <t>TZA</t>
  </si>
  <si>
    <t>THA</t>
  </si>
  <si>
    <t>Timor-Leste</t>
  </si>
  <si>
    <t>TLS</t>
  </si>
  <si>
    <t>TGO</t>
  </si>
  <si>
    <t>Tonga</t>
  </si>
  <si>
    <t>TON</t>
  </si>
  <si>
    <t>Tunisia</t>
  </si>
  <si>
    <t>TUN</t>
  </si>
  <si>
    <t>TUR</t>
  </si>
  <si>
    <t>Turkmenistan</t>
  </si>
  <si>
    <t>TKM</t>
  </si>
  <si>
    <t>Tuvalu</t>
  </si>
  <si>
    <t>TUV</t>
  </si>
  <si>
    <t>UGA</t>
  </si>
  <si>
    <t>UKR</t>
  </si>
  <si>
    <t>Uzbekistan</t>
  </si>
  <si>
    <t>UZB</t>
  </si>
  <si>
    <t>Vanuatu</t>
  </si>
  <si>
    <t>VUT</t>
  </si>
  <si>
    <t>Venezuela, RB</t>
  </si>
  <si>
    <t>VEN</t>
  </si>
  <si>
    <t>VNM</t>
  </si>
  <si>
    <t>West Bank and Gaza</t>
  </si>
  <si>
    <t>PSE</t>
  </si>
  <si>
    <t>Yemen, Rep.</t>
  </si>
  <si>
    <t>YEM</t>
  </si>
  <si>
    <t>ZMB</t>
  </si>
  <si>
    <t>ZWE</t>
  </si>
  <si>
    <t>Income classification</t>
  </si>
  <si>
    <t>Côte d'Ivoire</t>
  </si>
  <si>
    <t>Egypt, Arab Rep.</t>
  </si>
  <si>
    <t>Korea, Dem. Rep.</t>
  </si>
  <si>
    <t>São Tomé and Principe</t>
  </si>
  <si>
    <t>L</t>
  </si>
  <si>
    <t>UM</t>
  </si>
  <si>
    <t>LM</t>
  </si>
  <si>
    <t>INTENSITY</t>
  </si>
  <si>
    <t>ln_GNIPC</t>
  </si>
  <si>
    <t>Q1</t>
  </si>
  <si>
    <t>Q3</t>
  </si>
  <si>
    <t>Print</t>
  </si>
  <si>
    <t>REGION</t>
  </si>
  <si>
    <t>Average</t>
  </si>
  <si>
    <t>Intervention intensity</t>
  </si>
  <si>
    <t>Health area</t>
  </si>
  <si>
    <t>GNIPC [YR2020]</t>
  </si>
  <si>
    <t>DHS data</t>
  </si>
  <si>
    <t>Sub-saharan Africa</t>
  </si>
  <si>
    <t>2015-2016</t>
  </si>
  <si>
    <t>2017-2018</t>
  </si>
  <si>
    <t>Not available</t>
  </si>
  <si>
    <t>2010 (new one forthcoming)</t>
  </si>
  <si>
    <t>2016-2017</t>
  </si>
  <si>
    <t>2014-2015</t>
  </si>
  <si>
    <t>2011-2012</t>
  </si>
  <si>
    <t>2013-2014</t>
  </si>
  <si>
    <t>2019-2020</t>
  </si>
  <si>
    <t>Not available (forthcoming)</t>
  </si>
  <si>
    <t>2019-2021</t>
  </si>
  <si>
    <t>2016-2018</t>
  </si>
  <si>
    <t>Trinidad &amp; Tobago</t>
  </si>
  <si>
    <t>Children (under 2 years)</t>
  </si>
  <si>
    <t>Unit of analysis</t>
  </si>
  <si>
    <t>OWNERSHIP</t>
  </si>
  <si>
    <t>FIT</t>
  </si>
  <si>
    <t>Med</t>
  </si>
  <si>
    <t>Max</t>
  </si>
  <si>
    <t>SBC intervention type</t>
  </si>
  <si>
    <t>Ownership type</t>
  </si>
  <si>
    <t>Base cost</t>
  </si>
  <si>
    <t>Adjust GNIPC</t>
  </si>
  <si>
    <t>Adjust intensity</t>
  </si>
  <si>
    <t>Adjust health area</t>
  </si>
  <si>
    <t>Adjust ownership</t>
  </si>
  <si>
    <t>Adjust region</t>
  </si>
  <si>
    <t>min</t>
  </si>
  <si>
    <t>q1</t>
  </si>
  <si>
    <t>median</t>
  </si>
  <si>
    <t>q3</t>
  </si>
  <si>
    <t>max</t>
  </si>
  <si>
    <t>Regional</t>
  </si>
  <si>
    <t>Scale</t>
  </si>
  <si>
    <t>Adjust scale</t>
  </si>
  <si>
    <t>Title</t>
  </si>
  <si>
    <t>Min</t>
  </si>
  <si>
    <t>Budget</t>
  </si>
  <si>
    <t>person exposed</t>
  </si>
  <si>
    <t>per provider participating</t>
  </si>
  <si>
    <t># obs.</t>
  </si>
  <si>
    <t>Median unit cost</t>
  </si>
  <si>
    <t>person participating</t>
  </si>
  <si>
    <t>provider trained</t>
  </si>
  <si>
    <t>Television</t>
  </si>
  <si>
    <t>Provider communication</t>
  </si>
  <si>
    <t>SCALE</t>
  </si>
  <si>
    <t>Enter in budget</t>
  </si>
  <si>
    <t>Median reach</t>
  </si>
  <si>
    <t>Lower estimate</t>
  </si>
  <si>
    <t>Higher estimate</t>
  </si>
  <si>
    <t>TOTAL</t>
  </si>
  <si>
    <t>Enter %</t>
  </si>
  <si>
    <t>Estimated unit cost based on selections</t>
  </si>
  <si>
    <t>Expected range of SBC costs for this intervention are shown in the chart below</t>
  </si>
  <si>
    <t>2. Review estimated unit costs</t>
  </si>
  <si>
    <t>3. Enter in estimated budget</t>
  </si>
  <si>
    <t>4. Adjust unit costs, if necessary</t>
  </si>
  <si>
    <t>Click here to review SBC intervention types</t>
  </si>
  <si>
    <t>Click here to review intervention intensity</t>
  </si>
  <si>
    <t>Click here to return to tool</t>
  </si>
  <si>
    <t>Note that cells in yellow indicate user inputs and cells in blue represent outputs</t>
  </si>
  <si>
    <t>Click here to review health areas</t>
  </si>
  <si>
    <t>Click here to review ownership</t>
  </si>
  <si>
    <t>Click here to review scale</t>
  </si>
  <si>
    <t>1. Use the dropdown menus to select SBC intervention characteristics</t>
  </si>
  <si>
    <t>Step 1. Use the dropdown menus to select SBC intervention characteristics</t>
  </si>
  <si>
    <t>Step 2. Review estimated unit costs</t>
  </si>
  <si>
    <t>Point estimate</t>
  </si>
  <si>
    <t>Step 4. Adjust unit costs, if necessary</t>
  </si>
  <si>
    <t>Review the descriptions of SBC intervention types below:</t>
  </si>
  <si>
    <t>Review the descriptions of SBC intensity below:</t>
  </si>
  <si>
    <t>Design effort</t>
  </si>
  <si>
    <t>Duration of implementation</t>
  </si>
  <si>
    <t>Short (e.g., &lt; 3 months)</t>
  </si>
  <si>
    <t>Minimal time and cost spent in the design phase (e.g., &lt; 1 month, &lt;5% of total costs)</t>
  </si>
  <si>
    <t>Average time and cost spent on design phase (e.g., 4 months, 20% of total costs)</t>
  </si>
  <si>
    <t>Substantial time and cost spent on the design phase (e.g., 10 months, 30%+ of total costs)</t>
  </si>
  <si>
    <t>Average (e.g., 12 months)</t>
  </si>
  <si>
    <t>Long-term (e.g., 4 years)</t>
  </si>
  <si>
    <t>Exposure to intervention</t>
  </si>
  <si>
    <t>Minimal (e.g., one visit or message recall)</t>
  </si>
  <si>
    <t>Average (e.g., 3 visits or message recall)</t>
  </si>
  <si>
    <t>High (e.g., 6 visits or regular message listener)</t>
  </si>
  <si>
    <t>Media approach example</t>
  </si>
  <si>
    <t xml:space="preserve">Simple public service announcement </t>
  </si>
  <si>
    <t>Series of spots with a produced song and multiple messages</t>
  </si>
  <si>
    <t>Interactive call-in show or complex edutainment plotlines</t>
  </si>
  <si>
    <t>Mobile digital approach</t>
  </si>
  <si>
    <t>Simple SMS reminder</t>
  </si>
  <si>
    <t>Series of messages sent</t>
  </si>
  <si>
    <t>Includes interactive, two-way communication</t>
  </si>
  <si>
    <t>IPC - counselors</t>
  </si>
  <si>
    <t>Peer counseling with minimal training</t>
  </si>
  <si>
    <t>IPC - extent of training</t>
  </si>
  <si>
    <t>Volunteer or low-pay professionals (e.g., community health workers)</t>
  </si>
  <si>
    <t>Employed professionals with more than minimum wage</t>
  </si>
  <si>
    <t>Less than 1 day</t>
  </si>
  <si>
    <t>1 week or more</t>
  </si>
  <si>
    <t>1 to 5 days</t>
  </si>
  <si>
    <t>IPC - ratio of counselors to clients</t>
  </si>
  <si>
    <t>Group IPC - number of participants per group</t>
  </si>
  <si>
    <t>&gt;20</t>
  </si>
  <si>
    <t>10 to 20</t>
  </si>
  <si>
    <t>&lt;10</t>
  </si>
  <si>
    <t>1:100+</t>
  </si>
  <si>
    <t>1:25-100</t>
  </si>
  <si>
    <t>1:&lt;25</t>
  </si>
  <si>
    <t>Intensity dimension</t>
  </si>
  <si>
    <t>Review the descriptions of health areas below:</t>
  </si>
  <si>
    <t>Review the descriptions of ownership type below:</t>
  </si>
  <si>
    <t>Review the descriptions of scale below:</t>
  </si>
  <si>
    <t>5. Copy row above into table below - paste values</t>
  </si>
  <si>
    <t>Step 5. Copy output into table</t>
  </si>
  <si>
    <t>Sensitivity range for analysis estimate</t>
  </si>
  <si>
    <t>Breakthrough RESEARCH is made possible by the generous support of the American people through the United States Agency for International Development (USAID) under the terms of cooperative agreement no. AID-OAA-A-17-00018. The contents of this document are the sole responsibility of Breakthrough RESEARCH and do not necessarily reflect the views of USAID or the United States Government.</t>
  </si>
  <si>
    <t>tool inputs</t>
  </si>
  <si>
    <t>tool outputs</t>
  </si>
  <si>
    <t>Welcome to the SBC Costing Tool</t>
  </si>
  <si>
    <t>Guide to the SBC Costing Tool</t>
  </si>
  <si>
    <r>
      <t xml:space="preserve">
The </t>
    </r>
    <r>
      <rPr>
        <b/>
        <sz val="12"/>
        <color theme="4" tint="-0.499984740745262"/>
        <rFont val="Gill Sans MT"/>
        <family val="2"/>
      </rPr>
      <t>SBC Costing Tool</t>
    </r>
    <r>
      <rPr>
        <sz val="12"/>
        <color theme="4" tint="-0.499984740745262"/>
        <rFont val="Gill Sans MT"/>
        <family val="2"/>
      </rPr>
      <t xml:space="preserve"> was funded by USAID and developed by Breakthrough RESEARCH.  The costing tool is based on analyses of 157 SBC unit cost observations from studies in the peer reviewed and grey literature. SBC donors, implementers, and researchers can use this tool to assist with planning and budgeting.  The estimates generated in this tool are best estimates based on the literature; however, actual unit costs may vary depending on external factors. See the "Guide" tab for further information on how to use the tool. </t>
    </r>
  </si>
  <si>
    <t>Low reach</t>
  </si>
  <si>
    <t>High reach</t>
  </si>
  <si>
    <t>SBC Costing Tool - Estimate Intervention Reach</t>
  </si>
  <si>
    <t>SBC Costing Tool - Estimate Intervention Budget</t>
  </si>
  <si>
    <t>Enter reach</t>
  </si>
  <si>
    <t>Reach</t>
  </si>
  <si>
    <t>Median cost</t>
  </si>
  <si>
    <t>Low cost</t>
  </si>
  <si>
    <t>High cost</t>
  </si>
  <si>
    <t>Step 3. Enter in estimated budget or reach</t>
  </si>
  <si>
    <t>3. Enter in estimated reach</t>
  </si>
  <si>
    <t>example from green tab</t>
  </si>
  <si>
    <t>example from purple tab</t>
  </si>
  <si>
    <t>example green tab</t>
  </si>
  <si>
    <t>example purple tab</t>
  </si>
  <si>
    <r>
      <t>Version 1.0  released</t>
    </r>
    <r>
      <rPr>
        <sz val="11"/>
        <color rgb="FFFF0000"/>
        <rFont val="Gill Sans MT"/>
        <family val="2"/>
      </rPr>
      <t xml:space="preserve"> September 13, 2022</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</si>
</sst>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quot;* #,##0.00_);_(&quot;$&quot;* \(#,##0.00\);_(&quot;$&quot;* &quot;-&quot;??_);_(@_)"/>
    <numFmt numFmtId="43" formatCode="_(* #,##0.00_);_(* \(#,##0.00\);_(* &quot;-&quot;??_);_(@_)"/>
    <numFmt numFmtId="164" formatCode="General_)"/>
    <numFmt numFmtId="165" formatCode="_(* #,##0_);_(* \(#,##0\);_(* &quot;-&quot;??_);_(@_)"/>
    <numFmt numFmtId="166" formatCode="0.000%"/>
    <numFmt numFmtId="167" formatCode="_(&quot;$&quot;* #,##0_);_(&quot;$&quot;* \(#,##0\);_(&quot;$&quot;* &quot;-&quot;??_);_(@_)"/>
    <numFmt numFmtId="168" formatCode="&quot;$&quot;#,##0.00"/>
  </numFmts>
  <fonts count="48" x14ac:knownFonts="1">
    <font>
      <sz val="11"/>
      <color theme="1"/>
      <name val="Calibri"/>
      <family val="2"/>
      <scheme val="minor"/>
    </font>
    <font>
      <sz val="10"/>
      <color theme="1"/>
      <name val="Calibri"/>
      <family val="2"/>
      <scheme val="minor"/>
    </font>
    <font>
      <b/>
      <sz val="10"/>
      <color theme="1"/>
      <name val="Calibri"/>
      <family val="2"/>
      <scheme val="minor"/>
    </font>
    <font>
      <sz val="11"/>
      <color theme="1"/>
      <name val="Calibri"/>
      <family val="2"/>
      <scheme val="minor"/>
    </font>
    <font>
      <b/>
      <sz val="11"/>
      <color theme="4"/>
      <name val="Calibri"/>
      <family val="2"/>
      <scheme val="minor"/>
    </font>
    <font>
      <sz val="10"/>
      <name val="Calibri"/>
      <family val="2"/>
      <scheme val="minor"/>
    </font>
    <font>
      <sz val="8"/>
      <name val="Calibri"/>
      <family val="2"/>
      <scheme val="minor"/>
    </font>
    <font>
      <b/>
      <sz val="11"/>
      <color theme="1"/>
      <name val="Calibri"/>
      <family val="2"/>
      <scheme val="minor"/>
    </font>
    <font>
      <sz val="10"/>
      <name val="Arial"/>
      <family val="2"/>
    </font>
    <font>
      <i/>
      <sz val="11"/>
      <color theme="1"/>
      <name val="Calibri"/>
      <family val="2"/>
      <scheme val="minor"/>
    </font>
    <font>
      <sz val="11"/>
      <name val="Calibri"/>
      <family val="2"/>
      <scheme val="minor"/>
    </font>
    <font>
      <sz val="12"/>
      <color theme="1"/>
      <name val="Calibri"/>
      <family val="2"/>
      <scheme val="minor"/>
    </font>
    <font>
      <b/>
      <sz val="11"/>
      <name val="Calibri"/>
      <family val="2"/>
      <scheme val="minor"/>
    </font>
    <font>
      <i/>
      <u/>
      <sz val="11"/>
      <color theme="4"/>
      <name val="Calibri"/>
      <family val="2"/>
      <scheme val="minor"/>
    </font>
    <font>
      <b/>
      <shadow/>
      <sz val="20"/>
      <color rgb="FFFFFFFF"/>
      <name val="Gill Sans MT"/>
      <family val="2"/>
    </font>
    <font>
      <sz val="11"/>
      <color theme="1"/>
      <name val="Gill Sans MT"/>
      <family val="2"/>
    </font>
    <font>
      <sz val="12"/>
      <color theme="8" tint="-0.499984740745262"/>
      <name val="Gill Sans MT"/>
      <family val="2"/>
    </font>
    <font>
      <sz val="11"/>
      <color theme="8" tint="-0.499984740745262"/>
      <name val="Gill Sans MT"/>
      <family val="2"/>
    </font>
    <font>
      <sz val="11"/>
      <color rgb="FFFF0000"/>
      <name val="Gill Sans MT"/>
      <family val="2"/>
    </font>
    <font>
      <b/>
      <sz val="14"/>
      <color theme="1"/>
      <name val="Calibri"/>
      <family val="2"/>
      <scheme val="minor"/>
    </font>
    <font>
      <b/>
      <sz val="12"/>
      <color theme="0"/>
      <name val="Gill Sans MT"/>
      <family val="2"/>
    </font>
    <font>
      <sz val="10"/>
      <color theme="1"/>
      <name val="Gill Sans MT"/>
      <family val="2"/>
    </font>
    <font>
      <sz val="12"/>
      <color theme="4" tint="-0.499984740745262"/>
      <name val="Gill Sans MT"/>
      <family val="2"/>
    </font>
    <font>
      <sz val="12"/>
      <color theme="1"/>
      <name val="Gill Sans MT"/>
      <family val="2"/>
    </font>
    <font>
      <b/>
      <sz val="12"/>
      <color theme="1"/>
      <name val="Gill Sans MT"/>
      <family val="2"/>
    </font>
    <font>
      <b/>
      <u/>
      <sz val="14"/>
      <color theme="1"/>
      <name val="Gill Sans MT"/>
      <family val="2"/>
    </font>
    <font>
      <sz val="11"/>
      <color theme="0" tint="-0.249977111117893"/>
      <name val="Gill Sans MT"/>
      <family val="2"/>
    </font>
    <font>
      <b/>
      <sz val="12"/>
      <color theme="4"/>
      <name val="Gill Sans MT"/>
      <family val="2"/>
    </font>
    <font>
      <i/>
      <sz val="11"/>
      <color theme="1"/>
      <name val="Gill Sans MT"/>
      <family val="2"/>
    </font>
    <font>
      <b/>
      <sz val="11"/>
      <color theme="1"/>
      <name val="Gill Sans MT"/>
      <family val="2"/>
    </font>
    <font>
      <sz val="11"/>
      <color rgb="FF7030A0"/>
      <name val="Gill Sans MT"/>
      <family val="2"/>
    </font>
    <font>
      <i/>
      <u/>
      <sz val="11"/>
      <color theme="4"/>
      <name val="Gill Sans MT"/>
      <family val="2"/>
    </font>
    <font>
      <sz val="11"/>
      <color theme="2"/>
      <name val="Gill Sans MT"/>
      <family val="2"/>
    </font>
    <font>
      <sz val="10"/>
      <color theme="0" tint="-0.249977111117893"/>
      <name val="Gill Sans MT"/>
      <family val="2"/>
    </font>
    <font>
      <sz val="12"/>
      <color theme="0"/>
      <name val="Gill Sans MT"/>
      <family val="2"/>
    </font>
    <font>
      <b/>
      <sz val="12"/>
      <name val="Gill Sans MT"/>
      <family val="2"/>
    </font>
    <font>
      <sz val="12"/>
      <name val="Gill Sans MT"/>
      <family val="2"/>
    </font>
    <font>
      <u/>
      <sz val="12"/>
      <color theme="1"/>
      <name val="Gill Sans MT"/>
      <family val="2"/>
    </font>
    <font>
      <b/>
      <u/>
      <sz val="12"/>
      <color rgb="FF000000"/>
      <name val="Gill Sans MT"/>
      <family val="2"/>
    </font>
    <font>
      <u/>
      <sz val="11"/>
      <color theme="10"/>
      <name val="Calibri"/>
      <family val="2"/>
      <scheme val="minor"/>
    </font>
    <font>
      <i/>
      <u/>
      <sz val="11"/>
      <color theme="10"/>
      <name val="Calibri"/>
      <family val="2"/>
      <scheme val="minor"/>
    </font>
    <font>
      <i/>
      <u/>
      <sz val="14"/>
      <color theme="10"/>
      <name val="Gill Sans MT"/>
      <family val="2"/>
    </font>
    <font>
      <b/>
      <sz val="10"/>
      <color theme="1"/>
      <name val="Gill Sans MT"/>
      <family val="2"/>
    </font>
    <font>
      <b/>
      <sz val="12"/>
      <color theme="4" tint="-0.499984740745262"/>
      <name val="Gill Sans MT"/>
      <family val="2"/>
    </font>
    <font>
      <sz val="11"/>
      <color theme="4" tint="-0.499984740745262"/>
      <name val="Calibri"/>
      <family val="2"/>
      <scheme val="minor"/>
    </font>
    <font>
      <b/>
      <u/>
      <sz val="12"/>
      <color theme="4" tint="-0.499984740745262"/>
      <name val="Gill Sans MT"/>
      <family val="2"/>
    </font>
    <font>
      <b/>
      <i/>
      <sz val="11"/>
      <color theme="9" tint="-0.249977111117893"/>
      <name val="Calibri"/>
      <family val="2"/>
      <scheme val="minor"/>
    </font>
    <font>
      <b/>
      <i/>
      <sz val="11"/>
      <color rgb="FF7030A0"/>
      <name val="Calibri"/>
      <family val="2"/>
      <scheme val="minor"/>
    </font>
  </fonts>
  <fills count="8">
    <fill>
      <patternFill patternType="none"/>
    </fill>
    <fill>
      <patternFill patternType="gray125"/>
    </fill>
    <fill>
      <patternFill patternType="solid">
        <fgColor theme="7" tint="0.7999816888943144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rgb="FFFFFF00"/>
        <bgColor indexed="64"/>
      </patternFill>
    </fill>
    <fill>
      <patternFill patternType="solid">
        <fgColor rgb="FF043A5B"/>
        <bgColor rgb="FF0066CC"/>
      </patternFill>
    </fill>
    <fill>
      <patternFill patternType="solid">
        <fgColor theme="8" tint="0.79998168889431442"/>
        <bgColor indexed="64"/>
      </patternFill>
    </fill>
  </fills>
  <borders count="22">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auto="1"/>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s>
  <cellStyleXfs count="6">
    <xf numFmtId="0" fontId="0" fillId="0" borderId="0"/>
    <xf numFmtId="44" fontId="3" fillId="0" borderId="0" applyFont="0" applyFill="0" applyBorder="0" applyAlignment="0" applyProtection="0"/>
    <xf numFmtId="9" fontId="3" fillId="0" borderId="0" applyFont="0" applyFill="0" applyBorder="0" applyAlignment="0" applyProtection="0"/>
    <xf numFmtId="0" fontId="8" fillId="0" borderId="0"/>
    <xf numFmtId="43" fontId="3" fillId="0" borderId="0" applyFont="0" applyFill="0" applyBorder="0" applyAlignment="0" applyProtection="0"/>
    <xf numFmtId="0" fontId="39" fillId="0" borderId="0" applyNumberFormat="0" applyFill="0" applyBorder="0" applyAlignment="0" applyProtection="0"/>
  </cellStyleXfs>
  <cellXfs count="191">
    <xf numFmtId="0" fontId="0" fillId="0" borderId="0" xfId="0"/>
    <xf numFmtId="44" fontId="1" fillId="0" borderId="1" xfId="1" applyFont="1" applyFill="1" applyBorder="1" applyAlignment="1">
      <alignment horizontal="right"/>
    </xf>
    <xf numFmtId="44" fontId="5" fillId="0" borderId="1" xfId="1" applyFont="1" applyFill="1" applyBorder="1" applyAlignment="1">
      <alignment horizontal="right"/>
    </xf>
    <xf numFmtId="0" fontId="5" fillId="0" borderId="1" xfId="0" applyFont="1" applyBorder="1" applyAlignment="1">
      <alignment horizontal="left"/>
    </xf>
    <xf numFmtId="0" fontId="1" fillId="0" borderId="0" xfId="0" applyFont="1"/>
    <xf numFmtId="0" fontId="1" fillId="0" borderId="1" xfId="0" applyFont="1" applyBorder="1" applyAlignment="1">
      <alignment horizontal="left"/>
    </xf>
    <xf numFmtId="0" fontId="4" fillId="0" borderId="2" xfId="0" applyFont="1" applyBorder="1"/>
    <xf numFmtId="0" fontId="4" fillId="0" borderId="3" xfId="0" applyFont="1" applyBorder="1" applyAlignment="1">
      <alignment wrapText="1"/>
    </xf>
    <xf numFmtId="0" fontId="4" fillId="0" borderId="3" xfId="0" applyFont="1" applyBorder="1" applyAlignment="1">
      <alignment horizontal="center" wrapText="1"/>
    </xf>
    <xf numFmtId="0" fontId="0" fillId="0" borderId="5" xfId="0" applyBorder="1" applyAlignment="1">
      <alignment horizontal="left"/>
    </xf>
    <xf numFmtId="0" fontId="0" fillId="0" borderId="7" xfId="0" applyBorder="1" applyAlignment="1">
      <alignment horizontal="left"/>
    </xf>
    <xf numFmtId="0" fontId="5" fillId="0" borderId="8" xfId="0" applyFont="1" applyBorder="1" applyAlignment="1">
      <alignment horizontal="left"/>
    </xf>
    <xf numFmtId="44" fontId="5" fillId="0" borderId="8" xfId="1" applyFont="1" applyFill="1" applyBorder="1" applyAlignment="1">
      <alignment horizontal="right"/>
    </xf>
    <xf numFmtId="0" fontId="5" fillId="0" borderId="0" xfId="0" applyFont="1"/>
    <xf numFmtId="0" fontId="7" fillId="0" borderId="0" xfId="0" applyFont="1"/>
    <xf numFmtId="49" fontId="0" fillId="0" borderId="0" xfId="0" applyNumberFormat="1"/>
    <xf numFmtId="164" fontId="8" fillId="0" borderId="0" xfId="3" applyNumberFormat="1" applyAlignment="1">
      <alignment horizontal="left"/>
    </xf>
    <xf numFmtId="164" fontId="8" fillId="4" borderId="0" xfId="3" applyNumberFormat="1" applyFill="1" applyAlignment="1">
      <alignment horizontal="left"/>
    </xf>
    <xf numFmtId="0" fontId="0" fillId="2" borderId="0" xfId="0" applyFill="1"/>
    <xf numFmtId="0" fontId="2" fillId="0" borderId="0" xfId="0" applyFont="1"/>
    <xf numFmtId="0" fontId="0" fillId="0" borderId="0" xfId="0" applyAlignment="1">
      <alignment horizontal="center"/>
    </xf>
    <xf numFmtId="44" fontId="0" fillId="0" borderId="0" xfId="0" applyNumberFormat="1"/>
    <xf numFmtId="0" fontId="0" fillId="3" borderId="0" xfId="0" applyFill="1"/>
    <xf numFmtId="44" fontId="0" fillId="0" borderId="0" xfId="1" applyFont="1" applyFill="1"/>
    <xf numFmtId="49" fontId="7" fillId="0" borderId="0" xfId="0" applyNumberFormat="1" applyFont="1"/>
    <xf numFmtId="0" fontId="7" fillId="0" borderId="0" xfId="0" applyFont="1" applyAlignment="1">
      <alignment horizontal="center"/>
    </xf>
    <xf numFmtId="0" fontId="0" fillId="5" borderId="0" xfId="0" applyFill="1"/>
    <xf numFmtId="49" fontId="0" fillId="5" borderId="0" xfId="0" applyNumberFormat="1" applyFill="1"/>
    <xf numFmtId="0" fontId="0" fillId="5" borderId="0" xfId="0" applyFill="1" applyAlignment="1">
      <alignment horizontal="center"/>
    </xf>
    <xf numFmtId="44" fontId="0" fillId="0" borderId="0" xfId="1" applyFont="1"/>
    <xf numFmtId="0" fontId="0" fillId="0" borderId="0" xfId="0" applyAlignment="1">
      <alignment horizontal="left" indent="3"/>
    </xf>
    <xf numFmtId="0" fontId="11" fillId="0" borderId="0" xfId="0" applyFont="1"/>
    <xf numFmtId="0" fontId="0" fillId="0" borderId="0" xfId="0" applyAlignment="1">
      <alignment wrapText="1"/>
    </xf>
    <xf numFmtId="0" fontId="0" fillId="0" borderId="1" xfId="0" applyBorder="1"/>
    <xf numFmtId="0" fontId="0" fillId="0" borderId="1" xfId="0" applyBorder="1" applyAlignment="1">
      <alignment horizontal="center"/>
    </xf>
    <xf numFmtId="44" fontId="0" fillId="0" borderId="1" xfId="0" applyNumberFormat="1" applyBorder="1"/>
    <xf numFmtId="0" fontId="10" fillId="0" borderId="1" xfId="0" applyFont="1" applyBorder="1" applyAlignment="1">
      <alignment horizontal="center"/>
    </xf>
    <xf numFmtId="0" fontId="7" fillId="0" borderId="0" xfId="0" applyFont="1" applyAlignment="1">
      <alignment horizontal="left" indent="3"/>
    </xf>
    <xf numFmtId="0" fontId="4" fillId="0" borderId="4" xfId="0" applyFont="1" applyBorder="1" applyAlignment="1">
      <alignment horizontal="center" wrapText="1"/>
    </xf>
    <xf numFmtId="44" fontId="1" fillId="0" borderId="6" xfId="1" applyFont="1" applyFill="1" applyBorder="1" applyAlignment="1">
      <alignment horizontal="right"/>
    </xf>
    <xf numFmtId="44" fontId="1" fillId="0" borderId="9" xfId="1" applyFont="1" applyFill="1" applyBorder="1" applyAlignment="1">
      <alignment horizontal="right"/>
    </xf>
    <xf numFmtId="0" fontId="7" fillId="0" borderId="1" xfId="0" applyFont="1" applyBorder="1" applyAlignment="1">
      <alignment horizontal="left"/>
    </xf>
    <xf numFmtId="0" fontId="12" fillId="0" borderId="1" xfId="0" applyFont="1" applyBorder="1" applyAlignment="1">
      <alignment horizontal="center"/>
    </xf>
    <xf numFmtId="0" fontId="7" fillId="0" borderId="1" xfId="0" applyFont="1" applyBorder="1" applyAlignment="1">
      <alignment horizontal="center"/>
    </xf>
    <xf numFmtId="0" fontId="7" fillId="0" borderId="1" xfId="0" applyFont="1" applyBorder="1" applyAlignment="1">
      <alignment horizontal="center" wrapText="1"/>
    </xf>
    <xf numFmtId="0" fontId="7" fillId="0" borderId="1" xfId="0" applyFont="1" applyBorder="1"/>
    <xf numFmtId="0" fontId="13" fillId="0" borderId="0" xfId="0" applyFont="1"/>
    <xf numFmtId="0" fontId="14" fillId="6" borderId="0" xfId="0" applyFont="1" applyFill="1" applyAlignment="1">
      <alignment horizontal="left" vertical="center" indent="2"/>
    </xf>
    <xf numFmtId="0" fontId="15" fillId="0" borderId="0" xfId="0" applyFont="1" applyAlignment="1">
      <alignment horizontal="left" vertical="center"/>
    </xf>
    <xf numFmtId="0" fontId="16" fillId="0" borderId="0" xfId="0" applyFont="1"/>
    <xf numFmtId="0" fontId="15" fillId="0" borderId="0" xfId="0" applyFont="1" applyAlignment="1">
      <alignment vertical="center"/>
    </xf>
    <xf numFmtId="0" fontId="15" fillId="0" borderId="0" xfId="0" applyFont="1"/>
    <xf numFmtId="0" fontId="17" fillId="0" borderId="0" xfId="0" applyFont="1" applyAlignment="1">
      <alignment horizontal="left" indent="2"/>
    </xf>
    <xf numFmtId="0" fontId="19" fillId="0" borderId="0" xfId="0" applyFont="1"/>
    <xf numFmtId="0" fontId="20" fillId="0" borderId="18" xfId="0" applyFont="1" applyBorder="1" applyAlignment="1">
      <alignment vertical="center" wrapText="1"/>
    </xf>
    <xf numFmtId="0" fontId="21" fillId="0" borderId="18" xfId="0" applyFont="1" applyBorder="1" applyAlignment="1">
      <alignment horizontal="left" vertical="center" wrapText="1"/>
    </xf>
    <xf numFmtId="4" fontId="20" fillId="0" borderId="18" xfId="0" applyNumberFormat="1" applyFont="1" applyBorder="1" applyAlignment="1">
      <alignment vertical="center" wrapText="1"/>
    </xf>
    <xf numFmtId="4" fontId="21" fillId="0" borderId="18" xfId="0" applyNumberFormat="1" applyFont="1" applyBorder="1" applyAlignment="1">
      <alignment horizontal="left" vertical="center" wrapText="1"/>
    </xf>
    <xf numFmtId="0" fontId="20" fillId="0" borderId="18" xfId="0" applyFont="1" applyBorder="1" applyAlignment="1">
      <alignment horizontal="left" vertical="center" wrapText="1"/>
    </xf>
    <xf numFmtId="0" fontId="23" fillId="0" borderId="0" xfId="0" applyFont="1"/>
    <xf numFmtId="0" fontId="0" fillId="2" borderId="1" xfId="0" applyFill="1" applyBorder="1"/>
    <xf numFmtId="0" fontId="0" fillId="7" borderId="1" xfId="0" applyFill="1" applyBorder="1"/>
    <xf numFmtId="0" fontId="9" fillId="0" borderId="0" xfId="0" applyFont="1"/>
    <xf numFmtId="0" fontId="25" fillId="0" borderId="0" xfId="0" applyFont="1" applyAlignment="1">
      <alignment horizontal="left" indent="3"/>
    </xf>
    <xf numFmtId="0" fontId="26" fillId="0" borderId="0" xfId="0" applyFont="1"/>
    <xf numFmtId="0" fontId="27" fillId="0" borderId="0" xfId="0" applyFont="1" applyAlignment="1">
      <alignment horizontal="center"/>
    </xf>
    <xf numFmtId="0" fontId="27" fillId="0" borderId="0" xfId="0" applyFont="1" applyAlignment="1">
      <alignment horizontal="left" indent="4"/>
    </xf>
    <xf numFmtId="0" fontId="28" fillId="0" borderId="0" xfId="0" applyFont="1" applyAlignment="1">
      <alignment horizontal="left" indent="3"/>
    </xf>
    <xf numFmtId="0" fontId="29" fillId="0" borderId="0" xfId="0" applyFont="1" applyAlignment="1">
      <alignment horizontal="right"/>
    </xf>
    <xf numFmtId="0" fontId="27" fillId="0" borderId="0" xfId="0" applyFont="1" applyAlignment="1">
      <alignment horizontal="left" indent="3"/>
    </xf>
    <xf numFmtId="0" fontId="30" fillId="0" borderId="0" xfId="0" applyFont="1"/>
    <xf numFmtId="0" fontId="15" fillId="0" borderId="0" xfId="0" applyFont="1" applyAlignment="1">
      <alignment horizontal="right"/>
    </xf>
    <xf numFmtId="168" fontId="15" fillId="7" borderId="1" xfId="0" applyNumberFormat="1" applyFont="1" applyFill="1" applyBorder="1"/>
    <xf numFmtId="0" fontId="31" fillId="0" borderId="0" xfId="0" applyFont="1"/>
    <xf numFmtId="0" fontId="15" fillId="0" borderId="0" xfId="0" applyFont="1" applyAlignment="1">
      <alignment horizontal="right" indent="1"/>
    </xf>
    <xf numFmtId="44" fontId="32" fillId="0" borderId="0" xfId="1" applyFont="1" applyFill="1" applyBorder="1"/>
    <xf numFmtId="0" fontId="32" fillId="0" borderId="0" xfId="0" applyFont="1" applyAlignment="1">
      <alignment horizontal="center"/>
    </xf>
    <xf numFmtId="168" fontId="15" fillId="7" borderId="1" xfId="0" applyNumberFormat="1" applyFont="1" applyFill="1" applyBorder="1" applyAlignment="1">
      <alignment horizontal="right"/>
    </xf>
    <xf numFmtId="0" fontId="26" fillId="0" borderId="2" xfId="0" applyFont="1" applyBorder="1"/>
    <xf numFmtId="0" fontId="26" fillId="0" borderId="3" xfId="0" applyFont="1" applyBorder="1"/>
    <xf numFmtId="0" fontId="26" fillId="0" borderId="4" xfId="0" applyFont="1" applyBorder="1"/>
    <xf numFmtId="0" fontId="26" fillId="2" borderId="2" xfId="0" applyFont="1" applyFill="1" applyBorder="1"/>
    <xf numFmtId="0" fontId="26" fillId="2" borderId="3" xfId="0" applyFont="1" applyFill="1" applyBorder="1"/>
    <xf numFmtId="0" fontId="26" fillId="2" borderId="4" xfId="0" applyFont="1" applyFill="1" applyBorder="1"/>
    <xf numFmtId="166" fontId="32" fillId="0" borderId="0" xfId="2" applyNumberFormat="1" applyFont="1" applyFill="1" applyBorder="1"/>
    <xf numFmtId="0" fontId="26" fillId="0" borderId="0" xfId="0" applyFont="1" applyAlignment="1">
      <alignment horizontal="left"/>
    </xf>
    <xf numFmtId="44" fontId="33" fillId="0" borderId="0" xfId="1" applyFont="1" applyFill="1" applyBorder="1" applyAlignment="1">
      <alignment horizontal="right"/>
    </xf>
    <xf numFmtId="10" fontId="26" fillId="0" borderId="10" xfId="0" applyNumberFormat="1" applyFont="1" applyBorder="1"/>
    <xf numFmtId="10" fontId="26" fillId="0" borderId="0" xfId="0" applyNumberFormat="1" applyFont="1"/>
    <xf numFmtId="10" fontId="26" fillId="0" borderId="11" xfId="0" applyNumberFormat="1" applyFont="1" applyBorder="1"/>
    <xf numFmtId="0" fontId="26" fillId="2" borderId="10" xfId="0" applyFont="1" applyFill="1" applyBorder="1" applyAlignment="1">
      <alignment horizontal="left"/>
    </xf>
    <xf numFmtId="10" fontId="26" fillId="2" borderId="0" xfId="0" applyNumberFormat="1" applyFont="1" applyFill="1"/>
    <xf numFmtId="10" fontId="26" fillId="2" borderId="11" xfId="0" applyNumberFormat="1" applyFont="1" applyFill="1" applyBorder="1"/>
    <xf numFmtId="10" fontId="26" fillId="2" borderId="10" xfId="0" applyNumberFormat="1" applyFont="1" applyFill="1" applyBorder="1"/>
    <xf numFmtId="168" fontId="15" fillId="0" borderId="0" xfId="0" applyNumberFormat="1" applyFont="1"/>
    <xf numFmtId="0" fontId="29" fillId="0" borderId="0" xfId="0" applyFont="1"/>
    <xf numFmtId="0" fontId="29" fillId="0" borderId="0" xfId="0" applyFont="1" applyAlignment="1">
      <alignment horizontal="center"/>
    </xf>
    <xf numFmtId="0" fontId="28" fillId="0" borderId="0" xfId="0" applyFont="1" applyAlignment="1">
      <alignment horizontal="right"/>
    </xf>
    <xf numFmtId="0" fontId="15" fillId="7" borderId="1" xfId="0" applyFont="1" applyFill="1" applyBorder="1" applyAlignment="1">
      <alignment horizontal="left" wrapText="1"/>
    </xf>
    <xf numFmtId="167" fontId="15" fillId="7" borderId="1" xfId="0" applyNumberFormat="1" applyFont="1" applyFill="1" applyBorder="1" applyAlignment="1">
      <alignment horizontal="left" wrapText="1"/>
    </xf>
    <xf numFmtId="165" fontId="15" fillId="7" borderId="1" xfId="4" applyNumberFormat="1" applyFont="1" applyFill="1" applyBorder="1"/>
    <xf numFmtId="3" fontId="15" fillId="7" borderId="1" xfId="0" applyNumberFormat="1" applyFont="1" applyFill="1" applyBorder="1" applyAlignment="1">
      <alignment horizontal="right"/>
    </xf>
    <xf numFmtId="0" fontId="15" fillId="0" borderId="0" xfId="0" applyFont="1" applyAlignment="1">
      <alignment horizontal="left"/>
    </xf>
    <xf numFmtId="167" fontId="15" fillId="0" borderId="0" xfId="1" applyNumberFormat="1" applyFont="1" applyFill="1" applyBorder="1"/>
    <xf numFmtId="165" fontId="15" fillId="0" borderId="0" xfId="4" applyNumberFormat="1" applyFont="1" applyFill="1" applyBorder="1" applyAlignment="1">
      <alignment horizontal="right"/>
    </xf>
    <xf numFmtId="0" fontId="23" fillId="0" borderId="0" xfId="0" applyFont="1" applyAlignment="1">
      <alignment horizontal="left" indent="3"/>
    </xf>
    <xf numFmtId="0" fontId="34" fillId="0" borderId="0" xfId="0" applyFont="1" applyAlignment="1">
      <alignment horizontal="center"/>
    </xf>
    <xf numFmtId="0" fontId="27" fillId="0" borderId="0" xfId="0" applyFont="1" applyAlignment="1">
      <alignment horizontal="left"/>
    </xf>
    <xf numFmtId="44" fontId="29" fillId="7" borderId="0" xfId="0" applyNumberFormat="1" applyFont="1" applyFill="1"/>
    <xf numFmtId="9" fontId="26" fillId="0" borderId="0" xfId="2" applyFont="1" applyFill="1" applyBorder="1"/>
    <xf numFmtId="0" fontId="23" fillId="0" borderId="0" xfId="0" applyFont="1" applyAlignment="1">
      <alignment horizontal="right" indent="1"/>
    </xf>
    <xf numFmtId="44" fontId="24" fillId="0" borderId="0" xfId="0" applyNumberFormat="1" applyFont="1"/>
    <xf numFmtId="0" fontId="35" fillId="0" borderId="0" xfId="0" applyFont="1" applyAlignment="1">
      <alignment horizontal="left" indent="3"/>
    </xf>
    <xf numFmtId="165" fontId="23" fillId="0" borderId="0" xfId="4" applyNumberFormat="1" applyFont="1" applyFill="1" applyBorder="1"/>
    <xf numFmtId="10" fontId="26" fillId="0" borderId="12" xfId="0" applyNumberFormat="1" applyFont="1" applyBorder="1"/>
    <xf numFmtId="10" fontId="26" fillId="0" borderId="13" xfId="0" applyNumberFormat="1" applyFont="1" applyBorder="1"/>
    <xf numFmtId="10" fontId="26" fillId="0" borderId="14" xfId="0" applyNumberFormat="1" applyFont="1" applyBorder="1"/>
    <xf numFmtId="0" fontId="26" fillId="2" borderId="12" xfId="0" applyFont="1" applyFill="1" applyBorder="1" applyAlignment="1">
      <alignment horizontal="left"/>
    </xf>
    <xf numFmtId="10" fontId="26" fillId="2" borderId="13" xfId="0" applyNumberFormat="1" applyFont="1" applyFill="1" applyBorder="1"/>
    <xf numFmtId="10" fontId="26" fillId="2" borderId="14" xfId="0" applyNumberFormat="1" applyFont="1" applyFill="1" applyBorder="1"/>
    <xf numFmtId="10" fontId="26" fillId="2" borderId="12" xfId="0" applyNumberFormat="1" applyFont="1" applyFill="1" applyBorder="1"/>
    <xf numFmtId="0" fontId="36" fillId="0" borderId="0" xfId="0" applyFont="1" applyAlignment="1">
      <alignment horizontal="right" indent="3"/>
    </xf>
    <xf numFmtId="0" fontId="23" fillId="0" borderId="0" xfId="0" applyFont="1" applyAlignment="1">
      <alignment horizontal="center"/>
    </xf>
    <xf numFmtId="44" fontId="29" fillId="0" borderId="0" xfId="1" applyFont="1" applyFill="1"/>
    <xf numFmtId="0" fontId="15" fillId="0" borderId="0" xfId="0" applyFont="1" applyAlignment="1">
      <alignment horizontal="left" indent="3"/>
    </xf>
    <xf numFmtId="0" fontId="23" fillId="0" borderId="0" xfId="0" applyFont="1" applyAlignment="1">
      <alignment horizontal="center" wrapText="1"/>
    </xf>
    <xf numFmtId="0" fontId="32" fillId="0" borderId="0" xfId="0" applyFont="1"/>
    <xf numFmtId="0" fontId="15" fillId="2" borderId="0" xfId="0" applyFont="1" applyFill="1"/>
    <xf numFmtId="0" fontId="15" fillId="0" borderId="0" xfId="0" applyFont="1" applyAlignment="1">
      <alignment horizontal="left" indent="1"/>
    </xf>
    <xf numFmtId="0" fontId="31" fillId="0" borderId="0" xfId="0" applyFont="1" applyAlignment="1">
      <alignment horizontal="left" indent="1"/>
    </xf>
    <xf numFmtId="0" fontId="38" fillId="0" borderId="0" xfId="0" applyFont="1"/>
    <xf numFmtId="0" fontId="40" fillId="0" borderId="0" xfId="5" applyFont="1" applyFill="1" applyAlignment="1">
      <alignment horizontal="left" indent="1"/>
    </xf>
    <xf numFmtId="0" fontId="41" fillId="0" borderId="0" xfId="5" applyFont="1" applyFill="1"/>
    <xf numFmtId="0" fontId="42" fillId="0" borderId="0" xfId="0" applyFont="1"/>
    <xf numFmtId="0" fontId="21" fillId="0" borderId="1" xfId="0" applyFont="1" applyBorder="1" applyAlignment="1">
      <alignment horizontal="right" indent="1"/>
    </xf>
    <xf numFmtId="0" fontId="21" fillId="0" borderId="1" xfId="0" applyFont="1" applyBorder="1" applyAlignment="1">
      <alignment wrapText="1"/>
    </xf>
    <xf numFmtId="16" fontId="21" fillId="0" borderId="1" xfId="0" applyNumberFormat="1" applyFont="1" applyBorder="1" applyAlignment="1">
      <alignment wrapText="1"/>
    </xf>
    <xf numFmtId="0" fontId="37" fillId="0" borderId="0" xfId="0" applyFont="1"/>
    <xf numFmtId="0" fontId="22" fillId="0" borderId="0" xfId="0" applyFont="1" applyAlignment="1">
      <alignment horizontal="left" wrapText="1" indent="2"/>
    </xf>
    <xf numFmtId="0" fontId="22" fillId="0" borderId="0" xfId="0" applyFont="1" applyAlignment="1">
      <alignment horizontal="left" vertical="top" wrapText="1" indent="2"/>
    </xf>
    <xf numFmtId="0" fontId="22" fillId="0" borderId="0" xfId="0" applyFont="1"/>
    <xf numFmtId="0" fontId="44" fillId="0" borderId="0" xfId="0" applyFont="1"/>
    <xf numFmtId="0" fontId="45" fillId="0" borderId="0" xfId="0" applyFont="1"/>
    <xf numFmtId="0" fontId="15" fillId="0" borderId="0" xfId="0" applyFont="1" applyAlignment="1">
      <alignment horizontal="right" wrapText="1"/>
    </xf>
    <xf numFmtId="0" fontId="15" fillId="0" borderId="0" xfId="0" applyFont="1" applyAlignment="1">
      <alignment horizontal="center"/>
    </xf>
    <xf numFmtId="0" fontId="15" fillId="0" borderId="0" xfId="0" applyFont="1" applyProtection="1">
      <protection locked="0"/>
    </xf>
    <xf numFmtId="0" fontId="15" fillId="2" borderId="1" xfId="0" applyFont="1" applyFill="1" applyBorder="1" applyAlignment="1" applyProtection="1">
      <alignment horizontal="center"/>
      <protection locked="0"/>
    </xf>
    <xf numFmtId="167" fontId="15" fillId="2" borderId="1" xfId="1" applyNumberFormat="1" applyFont="1" applyFill="1" applyBorder="1" applyAlignment="1" applyProtection="1">
      <alignment horizontal="right"/>
      <protection locked="0"/>
    </xf>
    <xf numFmtId="9" fontId="15" fillId="2" borderId="1" xfId="2" applyFont="1" applyFill="1" applyBorder="1" applyProtection="1">
      <protection locked="0"/>
    </xf>
    <xf numFmtId="0" fontId="15" fillId="0" borderId="15" xfId="0" applyFont="1" applyBorder="1" applyAlignment="1" applyProtection="1">
      <alignment horizontal="left"/>
      <protection locked="0"/>
    </xf>
    <xf numFmtId="167" fontId="15" fillId="0" borderId="16" xfId="1" applyNumberFormat="1" applyFont="1" applyFill="1" applyBorder="1" applyProtection="1">
      <protection locked="0"/>
    </xf>
    <xf numFmtId="165" fontId="15" fillId="0" borderId="16" xfId="4" applyNumberFormat="1" applyFont="1" applyFill="1" applyBorder="1" applyAlignment="1" applyProtection="1">
      <alignment horizontal="right"/>
      <protection locked="0"/>
    </xf>
    <xf numFmtId="165" fontId="15" fillId="0" borderId="16" xfId="4" applyNumberFormat="1" applyFont="1" applyFill="1" applyBorder="1" applyProtection="1">
      <protection locked="0"/>
    </xf>
    <xf numFmtId="165" fontId="15" fillId="0" borderId="17" xfId="4" applyNumberFormat="1" applyFont="1" applyFill="1" applyBorder="1" applyProtection="1">
      <protection locked="0"/>
    </xf>
    <xf numFmtId="0" fontId="15" fillId="0" borderId="5" xfId="0" applyFont="1" applyBorder="1" applyAlignment="1" applyProtection="1">
      <alignment horizontal="left"/>
      <protection locked="0"/>
    </xf>
    <xf numFmtId="167" fontId="15" fillId="0" borderId="1" xfId="1" applyNumberFormat="1" applyFont="1" applyFill="1" applyBorder="1" applyProtection="1">
      <protection locked="0"/>
    </xf>
    <xf numFmtId="165" fontId="15" fillId="0" borderId="1" xfId="4" applyNumberFormat="1" applyFont="1" applyFill="1" applyBorder="1" applyAlignment="1" applyProtection="1">
      <alignment horizontal="right"/>
      <protection locked="0"/>
    </xf>
    <xf numFmtId="165" fontId="15" fillId="0" borderId="1" xfId="4" applyNumberFormat="1" applyFont="1" applyFill="1" applyBorder="1" applyProtection="1">
      <protection locked="0"/>
    </xf>
    <xf numFmtId="165" fontId="15" fillId="0" borderId="6" xfId="4" applyNumberFormat="1" applyFont="1" applyFill="1" applyBorder="1" applyProtection="1">
      <protection locked="0"/>
    </xf>
    <xf numFmtId="0" fontId="29" fillId="0" borderId="5" xfId="0" applyFont="1" applyBorder="1" applyAlignment="1" applyProtection="1">
      <alignment horizontal="left"/>
      <protection locked="0"/>
    </xf>
    <xf numFmtId="0" fontId="15" fillId="0" borderId="5" xfId="0" applyFont="1" applyBorder="1" applyProtection="1">
      <protection locked="0"/>
    </xf>
    <xf numFmtId="0" fontId="29" fillId="7" borderId="7" xfId="0" applyFont="1" applyFill="1" applyBorder="1"/>
    <xf numFmtId="167" fontId="29" fillId="7" borderId="8" xfId="1" applyNumberFormat="1" applyFont="1" applyFill="1" applyBorder="1"/>
    <xf numFmtId="165" fontId="29" fillId="7" borderId="8" xfId="4" applyNumberFormat="1" applyFont="1" applyFill="1" applyBorder="1" applyAlignment="1">
      <alignment horizontal="right"/>
    </xf>
    <xf numFmtId="165" fontId="29" fillId="7" borderId="8" xfId="4" applyNumberFormat="1" applyFont="1" applyFill="1" applyBorder="1"/>
    <xf numFmtId="165" fontId="29" fillId="7" borderId="9" xfId="4" applyNumberFormat="1" applyFont="1" applyFill="1" applyBorder="1"/>
    <xf numFmtId="165" fontId="15" fillId="2" borderId="1" xfId="4" applyNumberFormat="1" applyFont="1" applyFill="1" applyBorder="1" applyAlignment="1" applyProtection="1">
      <alignment horizontal="right"/>
      <protection locked="0"/>
    </xf>
    <xf numFmtId="165" fontId="15" fillId="7" borderId="1" xfId="4" applyNumberFormat="1" applyFont="1" applyFill="1" applyBorder="1" applyAlignment="1">
      <alignment horizontal="left" wrapText="1"/>
    </xf>
    <xf numFmtId="44" fontId="15" fillId="7" borderId="1" xfId="1" applyFont="1" applyFill="1" applyBorder="1"/>
    <xf numFmtId="44" fontId="15" fillId="7" borderId="1" xfId="1" applyFont="1" applyFill="1" applyBorder="1" applyAlignment="1">
      <alignment horizontal="right"/>
    </xf>
    <xf numFmtId="0" fontId="46" fillId="0" borderId="0" xfId="0" applyFont="1"/>
    <xf numFmtId="0" fontId="47" fillId="0" borderId="0" xfId="0" applyFont="1"/>
    <xf numFmtId="167" fontId="15" fillId="0" borderId="16" xfId="1" applyNumberFormat="1" applyFont="1" applyFill="1" applyBorder="1" applyAlignment="1" applyProtection="1">
      <alignment horizontal="right"/>
      <protection locked="0"/>
    </xf>
    <xf numFmtId="167" fontId="15" fillId="0" borderId="17" xfId="1" applyNumberFormat="1" applyFont="1" applyFill="1" applyBorder="1" applyProtection="1">
      <protection locked="0"/>
    </xf>
    <xf numFmtId="167" fontId="15" fillId="0" borderId="1" xfId="1" applyNumberFormat="1" applyFont="1" applyFill="1" applyBorder="1" applyAlignment="1" applyProtection="1">
      <alignment horizontal="right"/>
      <protection locked="0"/>
    </xf>
    <xf numFmtId="167" fontId="15" fillId="0" borderId="6" xfId="1" applyNumberFormat="1" applyFont="1" applyFill="1" applyBorder="1" applyProtection="1">
      <protection locked="0"/>
    </xf>
    <xf numFmtId="165" fontId="15" fillId="0" borderId="1" xfId="4" applyNumberFormat="1" applyFont="1" applyFill="1" applyBorder="1" applyAlignment="1">
      <alignment horizontal="left" wrapText="1"/>
    </xf>
    <xf numFmtId="167" fontId="15" fillId="0" borderId="1" xfId="1" applyNumberFormat="1" applyFont="1" applyFill="1" applyBorder="1"/>
    <xf numFmtId="167" fontId="15" fillId="0" borderId="1" xfId="1" applyNumberFormat="1" applyFont="1" applyFill="1" applyBorder="1" applyAlignment="1">
      <alignment horizontal="right"/>
    </xf>
    <xf numFmtId="0" fontId="29" fillId="7" borderId="19" xfId="0" applyFont="1" applyFill="1" applyBorder="1"/>
    <xf numFmtId="165" fontId="29" fillId="7" borderId="20" xfId="4" applyNumberFormat="1" applyFont="1" applyFill="1" applyBorder="1"/>
    <xf numFmtId="167" fontId="29" fillId="7" borderId="20" xfId="1" applyNumberFormat="1" applyFont="1" applyFill="1" applyBorder="1" applyAlignment="1">
      <alignment horizontal="right"/>
    </xf>
    <xf numFmtId="167" fontId="29" fillId="7" borderId="20" xfId="1" applyNumberFormat="1" applyFont="1" applyFill="1" applyBorder="1"/>
    <xf numFmtId="167" fontId="29" fillId="7" borderId="21" xfId="1" applyNumberFormat="1" applyFont="1" applyFill="1" applyBorder="1"/>
    <xf numFmtId="0" fontId="15" fillId="0" borderId="5" xfId="0" applyFont="1" applyBorder="1" applyAlignment="1">
      <alignment horizontal="left" wrapText="1"/>
    </xf>
    <xf numFmtId="167" fontId="15" fillId="0" borderId="6" xfId="1" applyNumberFormat="1" applyFont="1" applyFill="1" applyBorder="1" applyAlignment="1">
      <alignment horizontal="right"/>
    </xf>
    <xf numFmtId="0" fontId="15" fillId="0" borderId="7" xfId="0" applyFont="1" applyBorder="1" applyProtection="1">
      <protection locked="0"/>
    </xf>
    <xf numFmtId="165" fontId="15" fillId="0" borderId="8" xfId="4" applyNumberFormat="1" applyFont="1" applyFill="1" applyBorder="1" applyProtection="1">
      <protection locked="0"/>
    </xf>
    <xf numFmtId="167" fontId="15" fillId="0" borderId="8" xfId="1" applyNumberFormat="1" applyFont="1" applyFill="1" applyBorder="1" applyAlignment="1" applyProtection="1">
      <alignment horizontal="right"/>
      <protection locked="0"/>
    </xf>
    <xf numFmtId="167" fontId="15" fillId="0" borderId="8" xfId="1" applyNumberFormat="1" applyFont="1" applyFill="1" applyBorder="1" applyProtection="1">
      <protection locked="0"/>
    </xf>
    <xf numFmtId="167" fontId="15" fillId="0" borderId="9" xfId="1" applyNumberFormat="1" applyFont="1" applyFill="1" applyBorder="1" applyProtection="1">
      <protection locked="0"/>
    </xf>
  </cellXfs>
  <cellStyles count="6">
    <cellStyle name="Comma" xfId="4" builtinId="3"/>
    <cellStyle name="Currency" xfId="1" builtinId="4"/>
    <cellStyle name="Hyperlink" xfId="5" builtinId="8"/>
    <cellStyle name="Normal" xfId="0" builtinId="0"/>
    <cellStyle name="Normal_cty99" xfId="3" xr:uid="{FBD95056-D75B-4CD5-8F70-CAA33FA2840C}"/>
    <cellStyle name="Percent" xfId="2" builtinId="5"/>
  </cellStyles>
  <dxfs count="0"/>
  <tableStyles count="0" defaultTableStyle="TableStyleMedium2" defaultPivotStyle="PivotStyleLight16"/>
  <colors>
    <mruColors>
      <color rgb="FFCCCCFF"/>
      <color rgb="FFFF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17/10/relationships/person" Target="persons/person.xml"/></Relationships>
</file>

<file path=xl/charts/_rels/chartEx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Ex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Ex1.xml><?xml version="1.0" encoding="utf-8"?>
<cx:chartSpace xmlns:a="http://schemas.openxmlformats.org/drawingml/2006/main" xmlns:r="http://schemas.openxmlformats.org/officeDocument/2006/relationships" xmlns:cx="http://schemas.microsoft.com/office/drawing/2014/chartex">
  <cx:chartData>
    <cx:data id="0">
      <cx:numDim type="val">
        <cx:f>_xlchart.v1.0</cx:f>
      </cx:numDim>
    </cx:data>
  </cx:chartData>
  <cx:chart>
    <cx:plotArea>
      <cx:plotAreaRegion>
        <cx:series layoutId="boxWhisker" uniqueId="{6F2E5D8A-0854-42C8-B3BC-9A9E416F94B5}">
          <cx:spPr>
            <a:pattFill prst="ltUpDiag">
              <a:fgClr>
                <a:schemeClr val="accent1">
                  <a:lumMod val="40000"/>
                  <a:lumOff val="60000"/>
                </a:schemeClr>
              </a:fgClr>
              <a:bgClr>
                <a:schemeClr val="bg1"/>
              </a:bgClr>
            </a:pattFill>
            <a:ln w="50800">
              <a:solidFill>
                <a:schemeClr val="accent5">
                  <a:lumMod val="50000"/>
                </a:schemeClr>
              </a:solidFill>
            </a:ln>
          </cx:spPr>
          <cx:dataLabels pos="t">
            <cx:txPr>
              <a:bodyPr spcFirstLastPara="1" vertOverflow="ellipsis" horzOverflow="overflow" wrap="square" lIns="0" tIns="0" rIns="0" bIns="0" anchor="ctr" anchorCtr="1"/>
              <a:lstStyle/>
              <a:p>
                <a:pPr algn="ctr" rtl="0">
                  <a:defRPr sz="1200" b="0">
                    <a:solidFill>
                      <a:srgbClr val="002060"/>
                    </a:solidFill>
                  </a:defRPr>
                </a:pPr>
                <a:endParaRPr lang="en-US" sz="1200" b="0" i="0" u="none" strike="noStrike" baseline="0">
                  <a:solidFill>
                    <a:srgbClr val="002060"/>
                  </a:solidFill>
                  <a:latin typeface="Calibri" panose="020F0502020204030204"/>
                </a:endParaRPr>
              </a:p>
            </cx:txPr>
            <cx:visibility seriesName="0" categoryName="0" value="1"/>
            <cx:separator>, </cx:separator>
            <cx:dataLabel idx="0" pos="b">
              <cx:txPr>
                <a:bodyPr spcFirstLastPara="1" vertOverflow="ellipsis" horzOverflow="overflow" wrap="square" lIns="0" tIns="0" rIns="0" bIns="0" anchor="ctr" anchorCtr="1"/>
                <a:lstStyle/>
                <a:p>
                  <a:pPr algn="ctr" rtl="0">
                    <a:defRPr/>
                  </a:pPr>
                  <a:r>
                    <a:rPr lang="en-US" sz="1200" b="0" i="0" u="none" strike="noStrike" baseline="0">
                      <a:solidFill>
                        <a:srgbClr val="002060"/>
                      </a:solidFill>
                      <a:latin typeface="Calibri" panose="020F0502020204030204"/>
                    </a:rPr>
                    <a:t>$0.66</a:t>
                  </a:r>
                </a:p>
              </cx:txPr>
              <cx:separator>, </cx:separator>
            </cx:dataLabel>
            <cx:dataLabel idx="5" pos="r">
              <cx:txPr>
                <a:bodyPr spcFirstLastPara="1" vertOverflow="ellipsis" horzOverflow="overflow" wrap="square" lIns="0" tIns="0" rIns="0" bIns="0" anchor="ctr" anchorCtr="1"/>
                <a:lstStyle/>
                <a:p>
                  <a:pPr algn="ctr" rtl="0">
                    <a:defRPr/>
                  </a:pPr>
                  <a:r>
                    <a:rPr lang="en-US" sz="1200" b="0" i="0" u="none" strike="noStrike" baseline="0">
                      <a:solidFill>
                        <a:srgbClr val="002060"/>
                      </a:solidFill>
                      <a:latin typeface="Calibri" panose="020F0502020204030204"/>
                    </a:rPr>
                    <a:t>$0.72</a:t>
                  </a:r>
                </a:p>
              </cx:txPr>
              <cx:separator>, </cx:separator>
            </cx:dataLabel>
            <cx:dataLabel idx="6">
              <cx:txPr>
                <a:bodyPr spcFirstLastPara="1" vertOverflow="ellipsis" horzOverflow="overflow" wrap="square" lIns="0" tIns="0" rIns="0" bIns="0" anchor="ctr" anchorCtr="1"/>
                <a:lstStyle/>
                <a:p>
                  <a:pPr algn="ctr" rtl="0">
                    <a:defRPr sz="1800">
                      <a:solidFill>
                        <a:srgbClr val="002060"/>
                      </a:solidFill>
                    </a:defRPr>
                  </a:pPr>
                  <a:r>
                    <a:rPr lang="en-US" sz="1800" b="1" i="0" u="none" strike="noStrike" baseline="0">
                      <a:solidFill>
                        <a:srgbClr val="002060"/>
                      </a:solidFill>
                      <a:latin typeface="Calibri" panose="020F0502020204030204"/>
                    </a:rPr>
                    <a:t>$0.88</a:t>
                  </a:r>
                </a:p>
              </cx:txPr>
            </cx:dataLabel>
            <cx:dataLabel idx="7" pos="r">
              <cx:txPr>
                <a:bodyPr spcFirstLastPara="1" vertOverflow="ellipsis" horzOverflow="overflow" wrap="square" lIns="0" tIns="0" rIns="0" bIns="0" anchor="ctr" anchorCtr="1"/>
                <a:lstStyle/>
                <a:p>
                  <a:pPr algn="ctr" rtl="0">
                    <a:defRPr/>
                  </a:pPr>
                  <a:r>
                    <a:rPr lang="en-US" sz="1200" b="0" i="0" u="none" strike="noStrike" baseline="0">
                      <a:solidFill>
                        <a:srgbClr val="002060"/>
                      </a:solidFill>
                      <a:latin typeface="Calibri" panose="020F0502020204030204"/>
                    </a:rPr>
                    <a:t>$1.14</a:t>
                  </a:r>
                </a:p>
              </cx:txPr>
              <cx:separator>, </cx:separator>
            </cx:dataLabel>
            <cx:dataLabelHidden idx="8"/>
          </cx:dataLabels>
          <cx:dataId val="0"/>
          <cx:layoutPr>
            <cx:visibility meanLine="0" meanMarker="0" nonoutliers="0" outliers="0"/>
            <cx:statistics quartileMethod="exclusive"/>
          </cx:layoutPr>
        </cx:series>
      </cx:plotAreaRegion>
      <cx:axis id="0" hidden="1">
        <cx:catScaling gapWidth="1"/>
        <cx:tickLabels/>
      </cx:axis>
      <cx:axis id="1">
        <cx:valScaling/>
        <cx:tickLabels/>
        <cx:txPr>
          <a:bodyPr spcFirstLastPara="1" vertOverflow="ellipsis" horzOverflow="overflow" wrap="square" lIns="0" tIns="0" rIns="0" bIns="0" anchor="ctr" anchorCtr="1"/>
          <a:lstStyle/>
          <a:p>
            <a:pPr algn="ctr" rtl="0">
              <a:defRPr sz="1200"/>
            </a:pPr>
            <a:endParaRPr lang="en-US" sz="1200" b="0" i="0" u="none" strike="noStrike" baseline="0">
              <a:solidFill>
                <a:sysClr val="windowText" lastClr="000000">
                  <a:lumMod val="65000"/>
                  <a:lumOff val="35000"/>
                </a:sysClr>
              </a:solidFill>
              <a:latin typeface="Calibri" panose="020F0502020204030204"/>
            </a:endParaRPr>
          </a:p>
        </cx:txPr>
      </cx:axis>
    </cx:plotArea>
  </cx:chart>
</cx:chartSpace>
</file>

<file path=xl/charts/chartEx2.xml><?xml version="1.0" encoding="utf-8"?>
<cx:chartSpace xmlns:a="http://schemas.openxmlformats.org/drawingml/2006/main" xmlns:r="http://schemas.openxmlformats.org/officeDocument/2006/relationships" xmlns:cx="http://schemas.microsoft.com/office/drawing/2014/chartex">
  <cx:chartData>
    <cx:data id="0">
      <cx:numDim type="val">
        <cx:f>_xlchart.v1.1</cx:f>
      </cx:numDim>
    </cx:data>
  </cx:chartData>
  <cx:chart>
    <cx:plotArea>
      <cx:plotAreaRegion>
        <cx:series layoutId="boxWhisker" uniqueId="{6F2E5D8A-0854-42C8-B3BC-9A9E416F94B5}">
          <cx:spPr>
            <a:pattFill prst="ltUpDiag">
              <a:fgClr>
                <a:schemeClr val="accent1">
                  <a:lumMod val="40000"/>
                  <a:lumOff val="60000"/>
                </a:schemeClr>
              </a:fgClr>
              <a:bgClr>
                <a:schemeClr val="bg1"/>
              </a:bgClr>
            </a:pattFill>
            <a:ln w="50800">
              <a:solidFill>
                <a:schemeClr val="accent5">
                  <a:lumMod val="50000"/>
                </a:schemeClr>
              </a:solidFill>
            </a:ln>
          </cx:spPr>
          <cx:dataLabels pos="t">
            <cx:txPr>
              <a:bodyPr spcFirstLastPara="1" vertOverflow="ellipsis" horzOverflow="overflow" wrap="square" lIns="0" tIns="0" rIns="0" bIns="0" anchor="ctr" anchorCtr="1"/>
              <a:lstStyle/>
              <a:p>
                <a:pPr algn="ctr" rtl="0">
                  <a:defRPr sz="1200" b="0">
                    <a:solidFill>
                      <a:srgbClr val="002060"/>
                    </a:solidFill>
                  </a:defRPr>
                </a:pPr>
                <a:endParaRPr lang="en-US" sz="1200" b="0" i="0" u="none" strike="noStrike" baseline="0">
                  <a:solidFill>
                    <a:srgbClr val="002060"/>
                  </a:solidFill>
                  <a:latin typeface="Calibri" panose="020F0502020204030204"/>
                </a:endParaRPr>
              </a:p>
            </cx:txPr>
            <cx:visibility seriesName="0" categoryName="0" value="1"/>
            <cx:separator>, </cx:separator>
            <cx:dataLabel idx="0" pos="b">
              <cx:txPr>
                <a:bodyPr spcFirstLastPara="1" vertOverflow="ellipsis" horzOverflow="overflow" wrap="square" lIns="0" tIns="0" rIns="0" bIns="0" anchor="ctr" anchorCtr="1"/>
                <a:lstStyle/>
                <a:p>
                  <a:pPr algn="ctr" rtl="0">
                    <a:defRPr/>
                  </a:pPr>
                  <a:r>
                    <a:rPr lang="en-US" sz="1200" b="0" i="0" u="none" strike="noStrike" baseline="0">
                      <a:solidFill>
                        <a:srgbClr val="002060"/>
                      </a:solidFill>
                      <a:latin typeface="Calibri" panose="020F0502020204030204"/>
                    </a:rPr>
                    <a:t>$6.46</a:t>
                  </a:r>
                </a:p>
              </cx:txPr>
              <cx:separator>, </cx:separator>
            </cx:dataLabel>
            <cx:dataLabel idx="5" pos="r">
              <cx:txPr>
                <a:bodyPr spcFirstLastPara="1" vertOverflow="ellipsis" horzOverflow="overflow" wrap="square" lIns="0" tIns="0" rIns="0" bIns="0" anchor="ctr" anchorCtr="1"/>
                <a:lstStyle/>
                <a:p>
                  <a:pPr algn="ctr" rtl="0">
                    <a:defRPr/>
                  </a:pPr>
                  <a:r>
                    <a:rPr lang="en-US" sz="1200" b="0" i="0" u="none" strike="noStrike" baseline="0">
                      <a:solidFill>
                        <a:srgbClr val="002060"/>
                      </a:solidFill>
                      <a:latin typeface="Calibri" panose="020F0502020204030204"/>
                    </a:rPr>
                    <a:t>$6.85</a:t>
                  </a:r>
                </a:p>
              </cx:txPr>
              <cx:separator>, </cx:separator>
            </cx:dataLabel>
            <cx:dataLabel idx="6">
              <cx:txPr>
                <a:bodyPr spcFirstLastPara="1" vertOverflow="ellipsis" horzOverflow="overflow" wrap="square" lIns="0" tIns="0" rIns="0" bIns="0" anchor="ctr" anchorCtr="1"/>
                <a:lstStyle/>
                <a:p>
                  <a:pPr algn="ctr" rtl="0">
                    <a:defRPr sz="1800">
                      <a:solidFill>
                        <a:srgbClr val="002060"/>
                      </a:solidFill>
                    </a:defRPr>
                  </a:pPr>
                  <a:r>
                    <a:rPr lang="en-US" sz="1800" b="1" i="0" u="none" strike="noStrike" baseline="0">
                      <a:solidFill>
                        <a:srgbClr val="002060"/>
                      </a:solidFill>
                      <a:latin typeface="Calibri" panose="020F0502020204030204"/>
                    </a:rPr>
                    <a:t>$9.48</a:t>
                  </a:r>
                </a:p>
              </cx:txPr>
            </cx:dataLabel>
            <cx:dataLabel idx="7" pos="r">
              <cx:txPr>
                <a:bodyPr spcFirstLastPara="1" vertOverflow="ellipsis" horzOverflow="overflow" wrap="square" lIns="0" tIns="0" rIns="0" bIns="0" anchor="ctr" anchorCtr="1"/>
                <a:lstStyle/>
                <a:p>
                  <a:pPr algn="ctr" rtl="0">
                    <a:defRPr/>
                  </a:pPr>
                  <a:r>
                    <a:rPr lang="en-US" sz="1200" b="0" i="0" u="none" strike="noStrike" baseline="0">
                      <a:solidFill>
                        <a:srgbClr val="002060"/>
                      </a:solidFill>
                      <a:latin typeface="Calibri" panose="020F0502020204030204"/>
                    </a:rPr>
                    <a:t>$14.90</a:t>
                  </a:r>
                </a:p>
              </cx:txPr>
              <cx:separator>, </cx:separator>
            </cx:dataLabel>
            <cx:dataLabelHidden idx="8"/>
          </cx:dataLabels>
          <cx:dataId val="0"/>
          <cx:layoutPr>
            <cx:visibility meanLine="0" meanMarker="0" nonoutliers="0" outliers="0"/>
            <cx:statistics quartileMethod="exclusive"/>
          </cx:layoutPr>
        </cx:series>
      </cx:plotAreaRegion>
      <cx:axis id="0" hidden="1">
        <cx:catScaling gapWidth="1"/>
        <cx:tickLabels/>
      </cx:axis>
      <cx:axis id="1">
        <cx:valScaling/>
        <cx:tickLabels/>
        <cx:txPr>
          <a:bodyPr spcFirstLastPara="1" vertOverflow="ellipsis" horzOverflow="overflow" wrap="square" lIns="0" tIns="0" rIns="0" bIns="0" anchor="ctr" anchorCtr="1"/>
          <a:lstStyle/>
          <a:p>
            <a:pPr algn="ctr" rtl="0">
              <a:defRPr sz="1200"/>
            </a:pPr>
            <a:endParaRPr lang="en-US" sz="1200" b="0" i="0" u="none" strike="noStrike" baseline="0">
              <a:solidFill>
                <a:sysClr val="windowText" lastClr="000000">
                  <a:lumMod val="65000"/>
                  <a:lumOff val="35000"/>
                </a:sysClr>
              </a:solidFill>
              <a:latin typeface="Calibri" panose="020F0502020204030204"/>
            </a:endParaRPr>
          </a:p>
        </cx:txPr>
      </cx:axis>
    </cx:plotArea>
  </cx:chart>
</cx: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406">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tx1"/>
    </cs:fontRef>
    <cs:spPr>
      <a:solidFill>
        <a:schemeClr val="phClr"/>
      </a:solidFill>
      <a:ln>
        <a:solidFill>
          <a:schemeClr val="phClr"/>
        </a:solidFill>
      </a:ln>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2.xml><?xml version="1.0" encoding="utf-8"?>
<cs:chartStyle xmlns:cs="http://schemas.microsoft.com/office/drawing/2012/chartStyle" xmlns:a="http://schemas.openxmlformats.org/drawingml/2006/main" id="406">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tx1"/>
    </cs:fontRef>
    <cs:spPr>
      <a:solidFill>
        <a:schemeClr val="phClr"/>
      </a:solidFill>
      <a:ln>
        <a:solidFill>
          <a:schemeClr val="phClr"/>
        </a:solidFill>
      </a:ln>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12" Type="http://schemas.openxmlformats.org/officeDocument/2006/relationships/image" Target="../media/image12.png"/><Relationship Id="rId2" Type="http://schemas.openxmlformats.org/officeDocument/2006/relationships/hyperlink" Target="https://breakthroughactionandresearch.org/wp-content/uploads/2021/02/BR_Cost_Repository.xlsx" TargetMode="External"/><Relationship Id="rId1" Type="http://schemas.openxmlformats.org/officeDocument/2006/relationships/image" Target="../media/image2.png"/><Relationship Id="rId6" Type="http://schemas.openxmlformats.org/officeDocument/2006/relationships/image" Target="../media/image6.png"/><Relationship Id="rId11" Type="http://schemas.openxmlformats.org/officeDocument/2006/relationships/image" Target="../media/image11.png"/><Relationship Id="rId5" Type="http://schemas.openxmlformats.org/officeDocument/2006/relationships/image" Target="../media/image5.png"/><Relationship Id="rId10" Type="http://schemas.openxmlformats.org/officeDocument/2006/relationships/image" Target="../media/image10.png"/><Relationship Id="rId4" Type="http://schemas.openxmlformats.org/officeDocument/2006/relationships/image" Target="../media/image4.png"/><Relationship Id="rId9" Type="http://schemas.openxmlformats.org/officeDocument/2006/relationships/image" Target="../media/image9.png"/></Relationships>
</file>

<file path=xl/drawings/_rels/drawing3.xml.rels><?xml version="1.0" encoding="UTF-8" standalone="yes"?>
<Relationships xmlns="http://schemas.openxmlformats.org/package/2006/relationships"><Relationship Id="rId2" Type="http://schemas.openxmlformats.org/officeDocument/2006/relationships/hyperlink" Target="https://breakthroughactionandresearch.org/wp-content/uploads/2021/02/BR_Cost_Repository.xlsx" TargetMode="External"/><Relationship Id="rId1" Type="http://schemas.microsoft.com/office/2014/relationships/chartEx" Target="../charts/chartEx1.xml"/></Relationships>
</file>

<file path=xl/drawings/_rels/drawing4.xml.rels><?xml version="1.0" encoding="UTF-8" standalone="yes"?>
<Relationships xmlns="http://schemas.openxmlformats.org/package/2006/relationships"><Relationship Id="rId2" Type="http://schemas.openxmlformats.org/officeDocument/2006/relationships/hyperlink" Target="https://breakthroughactionandresearch.org/wp-content/uploads/2021/02/BR_Cost_Repository.xlsx" TargetMode="External"/><Relationship Id="rId1" Type="http://schemas.microsoft.com/office/2014/relationships/chartEx" Target="../charts/chartEx2.xml"/></Relationships>
</file>

<file path=xl/drawings/drawing1.xml><?xml version="1.0" encoding="utf-8"?>
<xdr:wsDr xmlns:xdr="http://schemas.openxmlformats.org/drawingml/2006/spreadsheetDrawing" xmlns:a="http://schemas.openxmlformats.org/drawingml/2006/main">
  <xdr:twoCellAnchor editAs="oneCell">
    <xdr:from>
      <xdr:col>0</xdr:col>
      <xdr:colOff>106680</xdr:colOff>
      <xdr:row>2</xdr:row>
      <xdr:rowOff>251460</xdr:rowOff>
    </xdr:from>
    <xdr:to>
      <xdr:col>0</xdr:col>
      <xdr:colOff>106680</xdr:colOff>
      <xdr:row>3</xdr:row>
      <xdr:rowOff>241300</xdr:rowOff>
    </xdr:to>
    <xdr:pic>
      <xdr:nvPicPr>
        <xdr:cNvPr id="2" name="Picture 1">
          <a:extLst>
            <a:ext uri="{FF2B5EF4-FFF2-40B4-BE49-F238E27FC236}">
              <a16:creationId xmlns:a16="http://schemas.microsoft.com/office/drawing/2014/main" id="{3BB9A059-E36E-41A9-9EBD-D702D596F85A}"/>
            </a:ext>
          </a:extLst>
        </xdr:cNvPr>
        <xdr:cNvPicPr>
          <a:picLocks noChangeAspect="1"/>
        </xdr:cNvPicPr>
      </xdr:nvPicPr>
      <xdr:blipFill>
        <a:blip xmlns:r="http://schemas.openxmlformats.org/officeDocument/2006/relationships" r:embed="rId1"/>
        <a:stretch>
          <a:fillRect/>
        </a:stretch>
      </xdr:blipFill>
      <xdr:spPr>
        <a:xfrm>
          <a:off x="106680" y="2556510"/>
          <a:ext cx="14212418" cy="1051560"/>
        </a:xfrm>
        <a:prstGeom prst="rect">
          <a:avLst/>
        </a:prstGeom>
      </xdr:spPr>
    </xdr:pic>
    <xdr:clientData/>
  </xdr:twoCellAnchor>
  <xdr:twoCellAnchor editAs="oneCell">
    <xdr:from>
      <xdr:col>0</xdr:col>
      <xdr:colOff>400050</xdr:colOff>
      <xdr:row>2</xdr:row>
      <xdr:rowOff>266700</xdr:rowOff>
    </xdr:from>
    <xdr:to>
      <xdr:col>0</xdr:col>
      <xdr:colOff>10496550</xdr:colOff>
      <xdr:row>2</xdr:row>
      <xdr:rowOff>1045209</xdr:rowOff>
    </xdr:to>
    <xdr:pic>
      <xdr:nvPicPr>
        <xdr:cNvPr id="3" name="Picture 2">
          <a:extLst>
            <a:ext uri="{FF2B5EF4-FFF2-40B4-BE49-F238E27FC236}">
              <a16:creationId xmlns:a16="http://schemas.microsoft.com/office/drawing/2014/main" id="{7299A41D-824C-4AED-B612-7B7E9F000EB2}"/>
            </a:ext>
          </a:extLst>
        </xdr:cNvPr>
        <xdr:cNvPicPr>
          <a:picLocks noChangeAspect="1"/>
        </xdr:cNvPicPr>
      </xdr:nvPicPr>
      <xdr:blipFill>
        <a:blip xmlns:r="http://schemas.openxmlformats.org/officeDocument/2006/relationships" r:embed="rId1"/>
        <a:stretch>
          <a:fillRect/>
        </a:stretch>
      </xdr:blipFill>
      <xdr:spPr>
        <a:xfrm>
          <a:off x="400050" y="1974850"/>
          <a:ext cx="10096500" cy="77850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276225</xdr:colOff>
      <xdr:row>1</xdr:row>
      <xdr:rowOff>114300</xdr:rowOff>
    </xdr:from>
    <xdr:to>
      <xdr:col>14</xdr:col>
      <xdr:colOff>381000</xdr:colOff>
      <xdr:row>4</xdr:row>
      <xdr:rowOff>819150</xdr:rowOff>
    </xdr:to>
    <xdr:sp macro="" textlink="">
      <xdr:nvSpPr>
        <xdr:cNvPr id="2" name="TextBox 1">
          <a:extLst>
            <a:ext uri="{FF2B5EF4-FFF2-40B4-BE49-F238E27FC236}">
              <a16:creationId xmlns:a16="http://schemas.microsoft.com/office/drawing/2014/main" id="{8D725E26-535B-9428-F309-44F920E47DD5}"/>
            </a:ext>
          </a:extLst>
        </xdr:cNvPr>
        <xdr:cNvSpPr txBox="1"/>
      </xdr:nvSpPr>
      <xdr:spPr>
        <a:xfrm>
          <a:off x="276225" y="622300"/>
          <a:ext cx="8366125" cy="1397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a:solidFill>
                <a:schemeClr val="accent1">
                  <a:lumMod val="50000"/>
                </a:schemeClr>
              </a:solidFill>
              <a:latin typeface="Gill Sans MT" panose="020B0502020104020203" pitchFamily="34" charset="0"/>
            </a:rPr>
            <a:t>The </a:t>
          </a:r>
          <a:r>
            <a:rPr lang="en-US" sz="1200" b="1">
              <a:solidFill>
                <a:schemeClr val="accent1">
                  <a:lumMod val="50000"/>
                </a:schemeClr>
              </a:solidFill>
              <a:latin typeface="Gill Sans MT" panose="020B0502020104020203" pitchFamily="34" charset="0"/>
            </a:rPr>
            <a:t>SBC Costing Tool </a:t>
          </a:r>
          <a:r>
            <a:rPr lang="en-US" sz="1200">
              <a:solidFill>
                <a:schemeClr val="accent1">
                  <a:lumMod val="50000"/>
                </a:schemeClr>
              </a:solidFill>
              <a:latin typeface="Gill Sans MT" panose="020B0502020104020203" pitchFamily="34" charset="0"/>
            </a:rPr>
            <a:t>allows users to enter in the characteristics of an SBC intervention to generate a range of estimated unit costs, based on an analysis of the SBC costing literature. The unit costs can be used in two ways:</a:t>
          </a:r>
        </a:p>
        <a:p>
          <a:r>
            <a:rPr lang="en-US" sz="1200">
              <a:solidFill>
                <a:schemeClr val="accent1">
                  <a:lumMod val="50000"/>
                </a:schemeClr>
              </a:solidFill>
              <a:latin typeface="Gill Sans MT" panose="020B0502020104020203" pitchFamily="34" charset="0"/>
            </a:rPr>
            <a:t>1. To estimate intervention reach based on the budget (</a:t>
          </a:r>
          <a:r>
            <a:rPr lang="en-US" sz="1200" b="1">
              <a:solidFill>
                <a:schemeClr val="accent6">
                  <a:lumMod val="75000"/>
                </a:schemeClr>
              </a:solidFill>
              <a:latin typeface="Gill Sans MT" panose="020B0502020104020203" pitchFamily="34" charset="0"/>
            </a:rPr>
            <a:t>green tab</a:t>
          </a:r>
          <a:r>
            <a:rPr lang="en-US" sz="1200">
              <a:solidFill>
                <a:schemeClr val="accent1">
                  <a:lumMod val="50000"/>
                </a:schemeClr>
              </a:solidFill>
              <a:latin typeface="Gill Sans MT" panose="020B0502020104020203" pitchFamily="34" charset="0"/>
            </a:rPr>
            <a:t>)</a:t>
          </a:r>
        </a:p>
        <a:p>
          <a:r>
            <a:rPr lang="en-US" sz="1200">
              <a:solidFill>
                <a:schemeClr val="accent1">
                  <a:lumMod val="50000"/>
                </a:schemeClr>
              </a:solidFill>
              <a:latin typeface="Gill Sans MT" panose="020B0502020104020203" pitchFamily="34" charset="0"/>
            </a:rPr>
            <a:t>2. To estimate intervention</a:t>
          </a:r>
          <a:r>
            <a:rPr lang="en-US" sz="1200" baseline="0">
              <a:solidFill>
                <a:schemeClr val="accent1">
                  <a:lumMod val="50000"/>
                </a:schemeClr>
              </a:solidFill>
              <a:latin typeface="Gill Sans MT" panose="020B0502020104020203" pitchFamily="34" charset="0"/>
            </a:rPr>
            <a:t> budget based on reach (</a:t>
          </a:r>
          <a:r>
            <a:rPr lang="en-US" sz="1200" b="1" baseline="0">
              <a:solidFill>
                <a:srgbClr val="7030A0"/>
              </a:solidFill>
              <a:latin typeface="Gill Sans MT" panose="020B0502020104020203" pitchFamily="34" charset="0"/>
            </a:rPr>
            <a:t>purple tab</a:t>
          </a:r>
          <a:r>
            <a:rPr lang="en-US" sz="1200" baseline="0">
              <a:solidFill>
                <a:schemeClr val="accent1">
                  <a:lumMod val="50000"/>
                </a:schemeClr>
              </a:solidFill>
              <a:latin typeface="Gill Sans MT" panose="020B0502020104020203" pitchFamily="34" charset="0"/>
            </a:rPr>
            <a:t>)</a:t>
          </a:r>
        </a:p>
        <a:p>
          <a:endParaRPr lang="en-US" sz="1200">
            <a:solidFill>
              <a:schemeClr val="accent1">
                <a:lumMod val="50000"/>
              </a:schemeClr>
            </a:solidFill>
            <a:latin typeface="Gill Sans MT" panose="020B0502020104020203" pitchFamily="34" charset="0"/>
          </a:endParaRPr>
        </a:p>
        <a:p>
          <a:r>
            <a:rPr lang="en-US" sz="1200">
              <a:solidFill>
                <a:schemeClr val="accent1">
                  <a:lumMod val="50000"/>
                </a:schemeClr>
              </a:solidFill>
              <a:latin typeface="Gill Sans MT" panose="020B0502020104020203" pitchFamily="34" charset="0"/>
            </a:rPr>
            <a:t>Once</a:t>
          </a:r>
          <a:r>
            <a:rPr lang="en-US" sz="1200" baseline="0">
              <a:solidFill>
                <a:schemeClr val="accent1">
                  <a:lumMod val="50000"/>
                </a:schemeClr>
              </a:solidFill>
              <a:latin typeface="Gill Sans MT" panose="020B0502020104020203" pitchFamily="34" charset="0"/>
            </a:rPr>
            <a:t> you select the appropriate tab, t</a:t>
          </a:r>
          <a:r>
            <a:rPr lang="en-US" sz="1200">
              <a:solidFill>
                <a:schemeClr val="accent1">
                  <a:lumMod val="50000"/>
                </a:schemeClr>
              </a:solidFill>
              <a:latin typeface="Gill Sans MT" panose="020B0502020104020203" pitchFamily="34" charset="0"/>
            </a:rPr>
            <a:t>here are five steps that can be taken when using</a:t>
          </a:r>
          <a:r>
            <a:rPr lang="en-US" sz="1200" baseline="0">
              <a:solidFill>
                <a:schemeClr val="accent1">
                  <a:lumMod val="50000"/>
                </a:schemeClr>
              </a:solidFill>
              <a:latin typeface="Gill Sans MT" panose="020B0502020104020203" pitchFamily="34" charset="0"/>
            </a:rPr>
            <a:t> the tool.</a:t>
          </a:r>
          <a:endParaRPr lang="en-US" sz="1200">
            <a:solidFill>
              <a:schemeClr val="accent1">
                <a:lumMod val="50000"/>
              </a:schemeClr>
            </a:solidFill>
            <a:latin typeface="Gill Sans MT" panose="020B0502020104020203" pitchFamily="34" charset="0"/>
          </a:endParaRPr>
        </a:p>
      </xdr:txBody>
    </xdr:sp>
    <xdr:clientData/>
  </xdr:twoCellAnchor>
  <xdr:twoCellAnchor editAs="oneCell">
    <xdr:from>
      <xdr:col>1</xdr:col>
      <xdr:colOff>190500</xdr:colOff>
      <xdr:row>11</xdr:row>
      <xdr:rowOff>129338</xdr:rowOff>
    </xdr:from>
    <xdr:to>
      <xdr:col>6</xdr:col>
      <xdr:colOff>421683</xdr:colOff>
      <xdr:row>19</xdr:row>
      <xdr:rowOff>56888</xdr:rowOff>
    </xdr:to>
    <xdr:pic>
      <xdr:nvPicPr>
        <xdr:cNvPr id="5" name="Picture 4">
          <a:extLst>
            <a:ext uri="{FF2B5EF4-FFF2-40B4-BE49-F238E27FC236}">
              <a16:creationId xmlns:a16="http://schemas.microsoft.com/office/drawing/2014/main" id="{201606A1-5728-157F-27B8-CE4754E1D5C0}"/>
            </a:ext>
          </a:extLst>
        </xdr:cNvPr>
        <xdr:cNvPicPr>
          <a:picLocks noChangeAspect="1"/>
        </xdr:cNvPicPr>
      </xdr:nvPicPr>
      <xdr:blipFill>
        <a:blip xmlns:r="http://schemas.openxmlformats.org/officeDocument/2006/relationships" r:embed="rId1"/>
        <a:stretch>
          <a:fillRect/>
        </a:stretch>
      </xdr:blipFill>
      <xdr:spPr>
        <a:xfrm>
          <a:off x="533400" y="2535988"/>
          <a:ext cx="3279183" cy="1451550"/>
        </a:xfrm>
        <a:prstGeom prst="rect">
          <a:avLst/>
        </a:prstGeom>
      </xdr:spPr>
    </xdr:pic>
    <xdr:clientData/>
  </xdr:twoCellAnchor>
  <xdr:twoCellAnchor>
    <xdr:from>
      <xdr:col>6</xdr:col>
      <xdr:colOff>444501</xdr:colOff>
      <xdr:row>12</xdr:row>
      <xdr:rowOff>38099</xdr:rowOff>
    </xdr:from>
    <xdr:to>
      <xdr:col>7</xdr:col>
      <xdr:colOff>463551</xdr:colOff>
      <xdr:row>18</xdr:row>
      <xdr:rowOff>165100</xdr:rowOff>
    </xdr:to>
    <xdr:sp macro="" textlink="">
      <xdr:nvSpPr>
        <xdr:cNvPr id="9" name="Right Brace 8">
          <a:extLst>
            <a:ext uri="{FF2B5EF4-FFF2-40B4-BE49-F238E27FC236}">
              <a16:creationId xmlns:a16="http://schemas.microsoft.com/office/drawing/2014/main" id="{765995CA-D31F-8EDC-7D14-95A7AF58758C}"/>
            </a:ext>
          </a:extLst>
        </xdr:cNvPr>
        <xdr:cNvSpPr/>
      </xdr:nvSpPr>
      <xdr:spPr>
        <a:xfrm>
          <a:off x="3835401" y="2635249"/>
          <a:ext cx="628650" cy="1270001"/>
        </a:xfrm>
        <a:prstGeom prst="rightBrace">
          <a:avLst/>
        </a:prstGeom>
        <a:noFill/>
        <a:ln w="22225">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marR="0" lvl="0" algn="l" rtl="0">
            <a:lnSpc>
              <a:spcPct val="100000"/>
            </a:lnSpc>
            <a:spcBef>
              <a:spcPts val="0"/>
            </a:spcBef>
            <a:spcAft>
              <a:spcPts val="0"/>
            </a:spcAft>
          </a:defPPr>
          <a:lvl1pPr marR="0" lvl="0" algn="l" rtl="0">
            <a:lnSpc>
              <a:spcPct val="100000"/>
            </a:lnSpc>
            <a:spcBef>
              <a:spcPts val="0"/>
            </a:spcBef>
            <a:spcAft>
              <a:spcPts val="0"/>
            </a:spcAft>
            <a:buClr>
              <a:srgbClr val="000000"/>
            </a:buClr>
            <a:buFont typeface="Arial"/>
            <a:defRPr sz="1400" b="0" i="0" u="none" strike="noStrike" cap="none">
              <a:solidFill>
                <a:schemeClr val="tx1"/>
              </a:solidFill>
              <a:latin typeface="+mn-lt"/>
              <a:ea typeface="+mn-ea"/>
              <a:cs typeface="+mn-cs"/>
              <a:sym typeface="Arial"/>
            </a:defRPr>
          </a:lvl1pPr>
          <a:lvl2pPr marR="0" lvl="1" algn="l" rtl="0">
            <a:lnSpc>
              <a:spcPct val="100000"/>
            </a:lnSpc>
            <a:spcBef>
              <a:spcPts val="0"/>
            </a:spcBef>
            <a:spcAft>
              <a:spcPts val="0"/>
            </a:spcAft>
            <a:buClr>
              <a:srgbClr val="000000"/>
            </a:buClr>
            <a:buFont typeface="Arial"/>
            <a:defRPr sz="1400" b="0" i="0" u="none" strike="noStrike" cap="none">
              <a:solidFill>
                <a:schemeClr val="tx1"/>
              </a:solidFill>
              <a:latin typeface="+mn-lt"/>
              <a:ea typeface="+mn-ea"/>
              <a:cs typeface="+mn-cs"/>
              <a:sym typeface="Arial"/>
            </a:defRPr>
          </a:lvl2pPr>
          <a:lvl3pPr marR="0" lvl="2" algn="l" rtl="0">
            <a:lnSpc>
              <a:spcPct val="100000"/>
            </a:lnSpc>
            <a:spcBef>
              <a:spcPts val="0"/>
            </a:spcBef>
            <a:spcAft>
              <a:spcPts val="0"/>
            </a:spcAft>
            <a:buClr>
              <a:srgbClr val="000000"/>
            </a:buClr>
            <a:buFont typeface="Arial"/>
            <a:defRPr sz="1400" b="0" i="0" u="none" strike="noStrike" cap="none">
              <a:solidFill>
                <a:schemeClr val="tx1"/>
              </a:solidFill>
              <a:latin typeface="+mn-lt"/>
              <a:ea typeface="+mn-ea"/>
              <a:cs typeface="+mn-cs"/>
              <a:sym typeface="Arial"/>
            </a:defRPr>
          </a:lvl3pPr>
          <a:lvl4pPr marR="0" lvl="3" algn="l" rtl="0">
            <a:lnSpc>
              <a:spcPct val="100000"/>
            </a:lnSpc>
            <a:spcBef>
              <a:spcPts val="0"/>
            </a:spcBef>
            <a:spcAft>
              <a:spcPts val="0"/>
            </a:spcAft>
            <a:buClr>
              <a:srgbClr val="000000"/>
            </a:buClr>
            <a:buFont typeface="Arial"/>
            <a:defRPr sz="1400" b="0" i="0" u="none" strike="noStrike" cap="none">
              <a:solidFill>
                <a:schemeClr val="tx1"/>
              </a:solidFill>
              <a:latin typeface="+mn-lt"/>
              <a:ea typeface="+mn-ea"/>
              <a:cs typeface="+mn-cs"/>
              <a:sym typeface="Arial"/>
            </a:defRPr>
          </a:lvl4pPr>
          <a:lvl5pPr marR="0" lvl="4" algn="l" rtl="0">
            <a:lnSpc>
              <a:spcPct val="100000"/>
            </a:lnSpc>
            <a:spcBef>
              <a:spcPts val="0"/>
            </a:spcBef>
            <a:spcAft>
              <a:spcPts val="0"/>
            </a:spcAft>
            <a:buClr>
              <a:srgbClr val="000000"/>
            </a:buClr>
            <a:buFont typeface="Arial"/>
            <a:defRPr sz="1400" b="0" i="0" u="none" strike="noStrike" cap="none">
              <a:solidFill>
                <a:schemeClr val="tx1"/>
              </a:solidFill>
              <a:latin typeface="+mn-lt"/>
              <a:ea typeface="+mn-ea"/>
              <a:cs typeface="+mn-cs"/>
              <a:sym typeface="Arial"/>
            </a:defRPr>
          </a:lvl5pPr>
          <a:lvl6pPr marR="0" lvl="5" algn="l" rtl="0">
            <a:lnSpc>
              <a:spcPct val="100000"/>
            </a:lnSpc>
            <a:spcBef>
              <a:spcPts val="0"/>
            </a:spcBef>
            <a:spcAft>
              <a:spcPts val="0"/>
            </a:spcAft>
            <a:buClr>
              <a:srgbClr val="000000"/>
            </a:buClr>
            <a:buFont typeface="Arial"/>
            <a:defRPr sz="1400" b="0" i="0" u="none" strike="noStrike" cap="none">
              <a:solidFill>
                <a:schemeClr val="tx1"/>
              </a:solidFill>
              <a:latin typeface="+mn-lt"/>
              <a:ea typeface="+mn-ea"/>
              <a:cs typeface="+mn-cs"/>
              <a:sym typeface="Arial"/>
            </a:defRPr>
          </a:lvl6pPr>
          <a:lvl7pPr marR="0" lvl="6" algn="l" rtl="0">
            <a:lnSpc>
              <a:spcPct val="100000"/>
            </a:lnSpc>
            <a:spcBef>
              <a:spcPts val="0"/>
            </a:spcBef>
            <a:spcAft>
              <a:spcPts val="0"/>
            </a:spcAft>
            <a:buClr>
              <a:srgbClr val="000000"/>
            </a:buClr>
            <a:buFont typeface="Arial"/>
            <a:defRPr sz="1400" b="0" i="0" u="none" strike="noStrike" cap="none">
              <a:solidFill>
                <a:schemeClr val="tx1"/>
              </a:solidFill>
              <a:latin typeface="+mn-lt"/>
              <a:ea typeface="+mn-ea"/>
              <a:cs typeface="+mn-cs"/>
              <a:sym typeface="Arial"/>
            </a:defRPr>
          </a:lvl7pPr>
          <a:lvl8pPr marR="0" lvl="7" algn="l" rtl="0">
            <a:lnSpc>
              <a:spcPct val="100000"/>
            </a:lnSpc>
            <a:spcBef>
              <a:spcPts val="0"/>
            </a:spcBef>
            <a:spcAft>
              <a:spcPts val="0"/>
            </a:spcAft>
            <a:buClr>
              <a:srgbClr val="000000"/>
            </a:buClr>
            <a:buFont typeface="Arial"/>
            <a:defRPr sz="1400" b="0" i="0" u="none" strike="noStrike" cap="none">
              <a:solidFill>
                <a:schemeClr val="tx1"/>
              </a:solidFill>
              <a:latin typeface="+mn-lt"/>
              <a:ea typeface="+mn-ea"/>
              <a:cs typeface="+mn-cs"/>
              <a:sym typeface="Arial"/>
            </a:defRPr>
          </a:lvl8pPr>
          <a:lvl9pPr marR="0" lvl="8" algn="l" rtl="0">
            <a:lnSpc>
              <a:spcPct val="100000"/>
            </a:lnSpc>
            <a:spcBef>
              <a:spcPts val="0"/>
            </a:spcBef>
            <a:spcAft>
              <a:spcPts val="0"/>
            </a:spcAft>
            <a:buClr>
              <a:srgbClr val="000000"/>
            </a:buClr>
            <a:buFont typeface="Arial"/>
            <a:defRPr sz="1400" b="0" i="0" u="none" strike="noStrike" cap="none">
              <a:solidFill>
                <a:schemeClr val="tx1"/>
              </a:solidFill>
              <a:latin typeface="+mn-lt"/>
              <a:ea typeface="+mn-ea"/>
              <a:cs typeface="+mn-cs"/>
              <a:sym typeface="Arial"/>
            </a:defRPr>
          </a:lvl9pPr>
        </a:lstStyle>
        <a:p>
          <a:pPr algn="ctr"/>
          <a:endParaRPr lang="en-US"/>
        </a:p>
      </xdr:txBody>
    </xdr:sp>
    <xdr:clientData/>
  </xdr:twoCellAnchor>
  <xdr:twoCellAnchor>
    <xdr:from>
      <xdr:col>7</xdr:col>
      <xdr:colOff>552450</xdr:colOff>
      <xdr:row>12</xdr:row>
      <xdr:rowOff>63500</xdr:rowOff>
    </xdr:from>
    <xdr:to>
      <xdr:col>15</xdr:col>
      <xdr:colOff>82550</xdr:colOff>
      <xdr:row>19</xdr:row>
      <xdr:rowOff>184150</xdr:rowOff>
    </xdr:to>
    <xdr:sp macro="" textlink="">
      <xdr:nvSpPr>
        <xdr:cNvPr id="10" name="TextBox 9">
          <a:extLst>
            <a:ext uri="{FF2B5EF4-FFF2-40B4-BE49-F238E27FC236}">
              <a16:creationId xmlns:a16="http://schemas.microsoft.com/office/drawing/2014/main" id="{D6DB0247-001D-43FE-84FF-72E123375754}"/>
            </a:ext>
          </a:extLst>
        </xdr:cNvPr>
        <xdr:cNvSpPr txBox="1"/>
      </xdr:nvSpPr>
      <xdr:spPr>
        <a:xfrm>
          <a:off x="4552950" y="2660650"/>
          <a:ext cx="4406900" cy="14541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a:solidFill>
                <a:schemeClr val="accent1">
                  <a:lumMod val="50000"/>
                </a:schemeClr>
              </a:solidFill>
              <a:latin typeface="Gill Sans MT" panose="020B0502020104020203" pitchFamily="34" charset="0"/>
            </a:rPr>
            <a:t>Start by selecting the country of the SBC intervention. If the intervention is in multiple countries, one</a:t>
          </a:r>
          <a:r>
            <a:rPr lang="en-US" sz="1200" baseline="0">
              <a:solidFill>
                <a:schemeClr val="accent1">
                  <a:lumMod val="50000"/>
                </a:schemeClr>
              </a:solidFill>
              <a:latin typeface="Gill Sans MT" panose="020B0502020104020203" pitchFamily="34" charset="0"/>
            </a:rPr>
            <a:t> can enter results for different countries in the accompanying table in Step 5.</a:t>
          </a:r>
          <a:endParaRPr lang="en-US" sz="1200">
            <a:solidFill>
              <a:schemeClr val="accent1">
                <a:lumMod val="50000"/>
              </a:schemeClr>
            </a:solidFill>
            <a:latin typeface="Gill Sans MT" panose="020B0502020104020203" pitchFamily="34" charset="0"/>
          </a:endParaRPr>
        </a:p>
        <a:p>
          <a:endParaRPr lang="en-US" sz="1200">
            <a:solidFill>
              <a:schemeClr val="accent1">
                <a:lumMod val="50000"/>
              </a:schemeClr>
            </a:solidFill>
            <a:latin typeface="Gill Sans MT" panose="020B0502020104020203" pitchFamily="34" charset="0"/>
          </a:endParaRPr>
        </a:p>
        <a:p>
          <a:r>
            <a:rPr lang="en-US" sz="1200">
              <a:solidFill>
                <a:schemeClr val="accent1">
                  <a:lumMod val="50000"/>
                </a:schemeClr>
              </a:solidFill>
              <a:latin typeface="Gill Sans MT" panose="020B0502020104020203" pitchFamily="34" charset="0"/>
            </a:rPr>
            <a:t>Users</a:t>
          </a:r>
          <a:r>
            <a:rPr lang="en-US" sz="1200" baseline="0">
              <a:solidFill>
                <a:schemeClr val="accent1">
                  <a:lumMod val="50000"/>
                </a:schemeClr>
              </a:solidFill>
              <a:latin typeface="Gill Sans MT" panose="020B0502020104020203" pitchFamily="34" charset="0"/>
            </a:rPr>
            <a:t> can click on the "click here to review" links  for more information on how to select the most appropriate characteristic for the intervention.</a:t>
          </a:r>
          <a:endParaRPr lang="en-US" sz="1200">
            <a:solidFill>
              <a:schemeClr val="accent1">
                <a:lumMod val="50000"/>
              </a:schemeClr>
            </a:solidFill>
            <a:latin typeface="Gill Sans MT" panose="020B0502020104020203" pitchFamily="34" charset="0"/>
          </a:endParaRPr>
        </a:p>
      </xdr:txBody>
    </xdr:sp>
    <xdr:clientData/>
  </xdr:twoCellAnchor>
  <xdr:twoCellAnchor>
    <xdr:from>
      <xdr:col>1</xdr:col>
      <xdr:colOff>247650</xdr:colOff>
      <xdr:row>21</xdr:row>
      <xdr:rowOff>50800</xdr:rowOff>
    </xdr:from>
    <xdr:to>
      <xdr:col>8</xdr:col>
      <xdr:colOff>387350</xdr:colOff>
      <xdr:row>27</xdr:row>
      <xdr:rowOff>82550</xdr:rowOff>
    </xdr:to>
    <xdr:sp macro="" textlink="">
      <xdr:nvSpPr>
        <xdr:cNvPr id="11" name="TextBox 10">
          <a:hlinkClick xmlns:r="http://schemas.openxmlformats.org/officeDocument/2006/relationships" r:id="rId2"/>
          <a:extLst>
            <a:ext uri="{FF2B5EF4-FFF2-40B4-BE49-F238E27FC236}">
              <a16:creationId xmlns:a16="http://schemas.microsoft.com/office/drawing/2014/main" id="{A067FD2D-E964-427B-A124-0E672AB651D4}"/>
            </a:ext>
          </a:extLst>
        </xdr:cNvPr>
        <xdr:cNvSpPr txBox="1"/>
      </xdr:nvSpPr>
      <xdr:spPr>
        <a:xfrm>
          <a:off x="590550" y="4457700"/>
          <a:ext cx="4406900" cy="11747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a:solidFill>
                <a:schemeClr val="accent1">
                  <a:lumMod val="50000"/>
                </a:schemeClr>
              </a:solidFill>
              <a:latin typeface="Gill Sans MT" panose="020B0502020104020203" pitchFamily="34" charset="0"/>
            </a:rPr>
            <a:t>Based</a:t>
          </a:r>
          <a:r>
            <a:rPr lang="en-US" sz="1200" baseline="0">
              <a:solidFill>
                <a:schemeClr val="accent1">
                  <a:lumMod val="50000"/>
                </a:schemeClr>
              </a:solidFill>
              <a:latin typeface="Gill Sans MT" panose="020B0502020104020203" pitchFamily="34" charset="0"/>
            </a:rPr>
            <a:t> on the selections made in Step 1, an estimated unit cost is generated, along with a range of values based on sensitivity analyses. While the tool presents an estimated rate of unit costs, the overall range for different SBC interventions vary substantially. Further details on reported unit costs can be found in the  </a:t>
          </a:r>
          <a:r>
            <a:rPr lang="en-US" sz="1200" u="sng" baseline="0">
              <a:solidFill>
                <a:schemeClr val="accent1">
                  <a:lumMod val="50000"/>
                </a:schemeClr>
              </a:solidFill>
              <a:latin typeface="Gill Sans MT" panose="020B0502020104020203" pitchFamily="34" charset="0"/>
            </a:rPr>
            <a:t>SBC Cost Repository</a:t>
          </a:r>
          <a:r>
            <a:rPr lang="en-US" sz="1200" u="none" baseline="0">
              <a:solidFill>
                <a:schemeClr val="accent1">
                  <a:lumMod val="50000"/>
                </a:schemeClr>
              </a:solidFill>
              <a:latin typeface="Gill Sans MT" panose="020B0502020104020203" pitchFamily="34" charset="0"/>
            </a:rPr>
            <a:t>.</a:t>
          </a:r>
          <a:endParaRPr lang="en-US" sz="1200" u="sng" baseline="0">
            <a:solidFill>
              <a:schemeClr val="accent1">
                <a:lumMod val="50000"/>
              </a:schemeClr>
            </a:solidFill>
            <a:latin typeface="Gill Sans MT" panose="020B0502020104020203" pitchFamily="34" charset="0"/>
          </a:endParaRPr>
        </a:p>
      </xdr:txBody>
    </xdr:sp>
    <xdr:clientData/>
  </xdr:twoCellAnchor>
  <xdr:twoCellAnchor editAs="oneCell">
    <xdr:from>
      <xdr:col>9</xdr:col>
      <xdr:colOff>171450</xdr:colOff>
      <xdr:row>23</xdr:row>
      <xdr:rowOff>95250</xdr:rowOff>
    </xdr:from>
    <xdr:to>
      <xdr:col>12</xdr:col>
      <xdr:colOff>590550</xdr:colOff>
      <xdr:row>32</xdr:row>
      <xdr:rowOff>124754</xdr:rowOff>
    </xdr:to>
    <xdr:pic>
      <xdr:nvPicPr>
        <xdr:cNvPr id="13" name="Picture 12">
          <a:extLst>
            <a:ext uri="{FF2B5EF4-FFF2-40B4-BE49-F238E27FC236}">
              <a16:creationId xmlns:a16="http://schemas.microsoft.com/office/drawing/2014/main" id="{50B56363-C126-470B-FF7F-6090E6AE2337}"/>
            </a:ext>
          </a:extLst>
        </xdr:cNvPr>
        <xdr:cNvPicPr>
          <a:picLocks noChangeAspect="1"/>
        </xdr:cNvPicPr>
      </xdr:nvPicPr>
      <xdr:blipFill>
        <a:blip xmlns:r="http://schemas.openxmlformats.org/officeDocument/2006/relationships" r:embed="rId3"/>
        <a:stretch>
          <a:fillRect/>
        </a:stretch>
      </xdr:blipFill>
      <xdr:spPr>
        <a:xfrm>
          <a:off x="5391150" y="4883150"/>
          <a:ext cx="2400300" cy="1744004"/>
        </a:xfrm>
        <a:prstGeom prst="rect">
          <a:avLst/>
        </a:prstGeom>
      </xdr:spPr>
    </xdr:pic>
    <xdr:clientData/>
  </xdr:twoCellAnchor>
  <xdr:twoCellAnchor editAs="oneCell">
    <xdr:from>
      <xdr:col>1</xdr:col>
      <xdr:colOff>590550</xdr:colOff>
      <xdr:row>29</xdr:row>
      <xdr:rowOff>25400</xdr:rowOff>
    </xdr:from>
    <xdr:to>
      <xdr:col>9</xdr:col>
      <xdr:colOff>49719</xdr:colOff>
      <xdr:row>30</xdr:row>
      <xdr:rowOff>139700</xdr:rowOff>
    </xdr:to>
    <xdr:pic>
      <xdr:nvPicPr>
        <xdr:cNvPr id="18" name="Picture 17">
          <a:extLst>
            <a:ext uri="{FF2B5EF4-FFF2-40B4-BE49-F238E27FC236}">
              <a16:creationId xmlns:a16="http://schemas.microsoft.com/office/drawing/2014/main" id="{7A631F52-ABD9-4DC3-F31B-BB275F57A709}"/>
            </a:ext>
          </a:extLst>
        </xdr:cNvPr>
        <xdr:cNvPicPr>
          <a:picLocks noChangeAspect="1"/>
        </xdr:cNvPicPr>
      </xdr:nvPicPr>
      <xdr:blipFill>
        <a:blip xmlns:r="http://schemas.openxmlformats.org/officeDocument/2006/relationships" r:embed="rId4"/>
        <a:stretch>
          <a:fillRect/>
        </a:stretch>
      </xdr:blipFill>
      <xdr:spPr>
        <a:xfrm>
          <a:off x="933450" y="5956300"/>
          <a:ext cx="4329619" cy="311150"/>
        </a:xfrm>
        <a:prstGeom prst="rect">
          <a:avLst/>
        </a:prstGeom>
      </xdr:spPr>
    </xdr:pic>
    <xdr:clientData/>
  </xdr:twoCellAnchor>
  <xdr:twoCellAnchor>
    <xdr:from>
      <xdr:col>1</xdr:col>
      <xdr:colOff>276225</xdr:colOff>
      <xdr:row>34</xdr:row>
      <xdr:rowOff>66675</xdr:rowOff>
    </xdr:from>
    <xdr:to>
      <xdr:col>7</xdr:col>
      <xdr:colOff>215900</xdr:colOff>
      <xdr:row>40</xdr:row>
      <xdr:rowOff>12700</xdr:rowOff>
    </xdr:to>
    <xdr:sp macro="" textlink="">
      <xdr:nvSpPr>
        <xdr:cNvPr id="19" name="TextBox 18">
          <a:extLst>
            <a:ext uri="{FF2B5EF4-FFF2-40B4-BE49-F238E27FC236}">
              <a16:creationId xmlns:a16="http://schemas.microsoft.com/office/drawing/2014/main" id="{18BE8CC0-44B2-4F84-8B07-DF052A960F80}"/>
            </a:ext>
          </a:extLst>
        </xdr:cNvPr>
        <xdr:cNvSpPr txBox="1"/>
      </xdr:nvSpPr>
      <xdr:spPr>
        <a:xfrm>
          <a:off x="612775" y="7699375"/>
          <a:ext cx="3597275" cy="10890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aseline="0">
              <a:solidFill>
                <a:schemeClr val="accent1">
                  <a:lumMod val="50000"/>
                </a:schemeClr>
              </a:solidFill>
              <a:latin typeface="Gill Sans MT" panose="020B0502020104020203" pitchFamily="34" charset="0"/>
            </a:rPr>
            <a:t>If using the</a:t>
          </a:r>
          <a:r>
            <a:rPr lang="en-US" sz="1200" baseline="0">
              <a:solidFill>
                <a:schemeClr val="accent6"/>
              </a:solidFill>
              <a:latin typeface="Gill Sans MT" panose="020B0502020104020203" pitchFamily="34" charset="0"/>
            </a:rPr>
            <a:t> </a:t>
          </a:r>
          <a:r>
            <a:rPr lang="en-US" sz="1200" b="1" u="sng" baseline="0">
              <a:solidFill>
                <a:schemeClr val="accent6">
                  <a:lumMod val="75000"/>
                </a:schemeClr>
              </a:solidFill>
              <a:latin typeface="Gill Sans MT" panose="020B0502020104020203" pitchFamily="34" charset="0"/>
            </a:rPr>
            <a:t>green</a:t>
          </a:r>
          <a:r>
            <a:rPr lang="en-US" sz="1200" baseline="0">
              <a:solidFill>
                <a:schemeClr val="accent6"/>
              </a:solidFill>
              <a:latin typeface="Gill Sans MT" panose="020B0502020104020203" pitchFamily="34" charset="0"/>
            </a:rPr>
            <a:t> </a:t>
          </a:r>
          <a:r>
            <a:rPr lang="en-US" sz="1200" baseline="0">
              <a:solidFill>
                <a:schemeClr val="accent1">
                  <a:lumMod val="50000"/>
                </a:schemeClr>
              </a:solidFill>
              <a:latin typeface="Gill Sans MT" panose="020B0502020104020203" pitchFamily="34" charset="0"/>
            </a:rPr>
            <a:t>tab, enter in your total estimated budget for the SBC intervention. The budget should include funds for both the development and the implementation of the SBC intervention over the life of the intervention. </a:t>
          </a:r>
        </a:p>
      </xdr:txBody>
    </xdr:sp>
    <xdr:clientData/>
  </xdr:twoCellAnchor>
  <xdr:twoCellAnchor editAs="oneCell">
    <xdr:from>
      <xdr:col>1</xdr:col>
      <xdr:colOff>590550</xdr:colOff>
      <xdr:row>39</xdr:row>
      <xdr:rowOff>184151</xdr:rowOff>
    </xdr:from>
    <xdr:to>
      <xdr:col>6</xdr:col>
      <xdr:colOff>19050</xdr:colOff>
      <xdr:row>41</xdr:row>
      <xdr:rowOff>83917</xdr:rowOff>
    </xdr:to>
    <xdr:pic>
      <xdr:nvPicPr>
        <xdr:cNvPr id="21" name="Picture 20">
          <a:extLst>
            <a:ext uri="{FF2B5EF4-FFF2-40B4-BE49-F238E27FC236}">
              <a16:creationId xmlns:a16="http://schemas.microsoft.com/office/drawing/2014/main" id="{6FAD9C0F-5074-4454-E47B-DDACCB32406C}"/>
            </a:ext>
          </a:extLst>
        </xdr:cNvPr>
        <xdr:cNvPicPr>
          <a:picLocks noChangeAspect="1"/>
        </xdr:cNvPicPr>
      </xdr:nvPicPr>
      <xdr:blipFill>
        <a:blip xmlns:r="http://schemas.openxmlformats.org/officeDocument/2006/relationships" r:embed="rId5"/>
        <a:stretch>
          <a:fillRect/>
        </a:stretch>
      </xdr:blipFill>
      <xdr:spPr>
        <a:xfrm>
          <a:off x="933450" y="7448551"/>
          <a:ext cx="2476500" cy="280766"/>
        </a:xfrm>
        <a:prstGeom prst="rect">
          <a:avLst/>
        </a:prstGeom>
      </xdr:spPr>
    </xdr:pic>
    <xdr:clientData/>
  </xdr:twoCellAnchor>
  <xdr:twoCellAnchor>
    <xdr:from>
      <xdr:col>1</xdr:col>
      <xdr:colOff>260350</xdr:colOff>
      <xdr:row>44</xdr:row>
      <xdr:rowOff>120650</xdr:rowOff>
    </xdr:from>
    <xdr:to>
      <xdr:col>14</xdr:col>
      <xdr:colOff>520700</xdr:colOff>
      <xdr:row>64</xdr:row>
      <xdr:rowOff>0</xdr:rowOff>
    </xdr:to>
    <xdr:sp macro="" textlink="">
      <xdr:nvSpPr>
        <xdr:cNvPr id="22" name="TextBox 21">
          <a:extLst>
            <a:ext uri="{FF2B5EF4-FFF2-40B4-BE49-F238E27FC236}">
              <a16:creationId xmlns:a16="http://schemas.microsoft.com/office/drawing/2014/main" id="{371F79DB-94F2-4891-84EE-FDA4CB8C4E75}"/>
            </a:ext>
          </a:extLst>
        </xdr:cNvPr>
        <xdr:cNvSpPr txBox="1"/>
      </xdr:nvSpPr>
      <xdr:spPr>
        <a:xfrm>
          <a:off x="603250" y="8362950"/>
          <a:ext cx="8185150" cy="35623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1" baseline="0">
              <a:solidFill>
                <a:schemeClr val="accent1">
                  <a:lumMod val="50000"/>
                </a:schemeClr>
              </a:solidFill>
              <a:latin typeface="Gill Sans MT" panose="020B0502020104020203" pitchFamily="34" charset="0"/>
            </a:rPr>
            <a:t>Most users will not need to adjust the unit costs and will leave the input setting as its default value of 0%</a:t>
          </a:r>
          <a:r>
            <a:rPr lang="en-US" sz="1200" baseline="0">
              <a:solidFill>
                <a:schemeClr val="accent1">
                  <a:lumMod val="50000"/>
                </a:schemeClr>
              </a:solidFill>
              <a:latin typeface="Gill Sans MT" panose="020B0502020104020203" pitchFamily="34" charset="0"/>
            </a:rPr>
            <a:t>. If one has reason to believe that the unit costs will be higher or lower than the estimated values, then they can adjust the unit costs by entering in a percentage change. Lower expected costs would be entered as a negative percentage (e.g., </a:t>
          </a:r>
          <a:r>
            <a:rPr lang="en-US" sz="1200" b="1" baseline="0">
              <a:solidFill>
                <a:schemeClr val="accent1">
                  <a:lumMod val="50000"/>
                </a:schemeClr>
              </a:solidFill>
              <a:latin typeface="Gill Sans MT" panose="020B0502020104020203" pitchFamily="34" charset="0"/>
            </a:rPr>
            <a:t>-</a:t>
          </a:r>
          <a:r>
            <a:rPr lang="en-US" sz="1200" baseline="0">
              <a:solidFill>
                <a:schemeClr val="accent1">
                  <a:lumMod val="50000"/>
                </a:schemeClr>
              </a:solidFill>
              <a:latin typeface="Gill Sans MT" panose="020B0502020104020203" pitchFamily="34" charset="0"/>
            </a:rPr>
            <a:t>25%) and higher costs as a positive percentage (e.g., 10%). Some examples where adjusting the unit costs might be reasonable include:</a:t>
          </a:r>
        </a:p>
        <a:p>
          <a:endParaRPr lang="en-US" sz="1200" baseline="0">
            <a:solidFill>
              <a:schemeClr val="accent1">
                <a:lumMod val="50000"/>
              </a:schemeClr>
            </a:solidFill>
            <a:latin typeface="Gill Sans MT" panose="020B0502020104020203" pitchFamily="34" charset="0"/>
          </a:endParaRPr>
        </a:p>
        <a:p>
          <a:r>
            <a:rPr lang="en-US" sz="1200" baseline="0">
              <a:solidFill>
                <a:schemeClr val="accent1">
                  <a:lumMod val="50000"/>
                </a:schemeClr>
              </a:solidFill>
              <a:latin typeface="Gill Sans MT" panose="020B0502020104020203" pitchFamily="34" charset="0"/>
            </a:rPr>
            <a:t>* A mass media campaign where there will be a lot of donated air time, estimated at 30% of the total cost of the intervention (enter </a:t>
          </a:r>
          <a:r>
            <a:rPr lang="en-US" sz="1200" b="1" baseline="0">
              <a:solidFill>
                <a:schemeClr val="accent1">
                  <a:lumMod val="50000"/>
                </a:schemeClr>
              </a:solidFill>
              <a:latin typeface="Gill Sans MT" panose="020B0502020104020203" pitchFamily="34" charset="0"/>
            </a:rPr>
            <a:t>-</a:t>
          </a:r>
          <a:r>
            <a:rPr lang="en-US" sz="1200" baseline="0">
              <a:solidFill>
                <a:schemeClr val="accent1">
                  <a:lumMod val="50000"/>
                </a:schemeClr>
              </a:solidFill>
              <a:latin typeface="Gill Sans MT" panose="020B0502020104020203" pitchFamily="34" charset="0"/>
            </a:rPr>
            <a:t>30%).</a:t>
          </a:r>
        </a:p>
        <a:p>
          <a:endParaRPr lang="en-US" sz="1200" baseline="0">
            <a:solidFill>
              <a:schemeClr val="accent1">
                <a:lumMod val="50000"/>
              </a:schemeClr>
            </a:solidFill>
            <a:latin typeface="Gill Sans MT" panose="020B0502020104020203" pitchFamily="34" charset="0"/>
          </a:endParaRPr>
        </a:p>
        <a:p>
          <a:r>
            <a:rPr lang="en-US" sz="1200" baseline="0">
              <a:solidFill>
                <a:schemeClr val="accent1">
                  <a:lumMod val="50000"/>
                </a:schemeClr>
              </a:solidFill>
              <a:latin typeface="Gill Sans MT" panose="020B0502020104020203" pitchFamily="34" charset="0"/>
            </a:rPr>
            <a:t>* A group IPC intervention where the labor of the counselors will be paid for under a different mechanism, estimated at 25% of the total costs (enter </a:t>
          </a:r>
          <a:r>
            <a:rPr lang="en-US" sz="1200" b="1" baseline="0">
              <a:solidFill>
                <a:schemeClr val="accent1">
                  <a:lumMod val="50000"/>
                </a:schemeClr>
              </a:solidFill>
              <a:latin typeface="Gill Sans MT" panose="020B0502020104020203" pitchFamily="34" charset="0"/>
            </a:rPr>
            <a:t>-</a:t>
          </a:r>
          <a:r>
            <a:rPr lang="en-US" sz="1200" baseline="0">
              <a:solidFill>
                <a:schemeClr val="accent1">
                  <a:lumMod val="50000"/>
                </a:schemeClr>
              </a:solidFill>
              <a:latin typeface="Gill Sans MT" panose="020B0502020104020203" pitchFamily="34" charset="0"/>
            </a:rPr>
            <a:t>25%)</a:t>
          </a:r>
        </a:p>
        <a:p>
          <a:endParaRPr lang="en-US" sz="1200" baseline="0">
            <a:solidFill>
              <a:schemeClr val="accent1">
                <a:lumMod val="50000"/>
              </a:schemeClr>
            </a:solidFill>
            <a:latin typeface="Gill Sans MT" panose="020B0502020104020203" pitchFamily="34" charset="0"/>
          </a:endParaRPr>
        </a:p>
        <a:p>
          <a:r>
            <a:rPr lang="en-US" sz="1200" baseline="0">
              <a:solidFill>
                <a:schemeClr val="accent1">
                  <a:lumMod val="50000"/>
                </a:schemeClr>
              </a:solidFill>
              <a:latin typeface="Gill Sans MT" panose="020B0502020104020203" pitchFamily="34" charset="0"/>
            </a:rPr>
            <a:t>* An SMS/text message intervention that has already been designed under a different project and will be implemented in the next budgeting phase - with design costs estimated at 15% (enter </a:t>
          </a:r>
          <a:r>
            <a:rPr lang="en-US" sz="1200" b="1" baseline="0">
              <a:solidFill>
                <a:schemeClr val="accent1">
                  <a:lumMod val="50000"/>
                </a:schemeClr>
              </a:solidFill>
              <a:latin typeface="Gill Sans MT" panose="020B0502020104020203" pitchFamily="34" charset="0"/>
            </a:rPr>
            <a:t>-</a:t>
          </a:r>
          <a:r>
            <a:rPr lang="en-US" sz="1200" baseline="0">
              <a:solidFill>
                <a:schemeClr val="accent1">
                  <a:lumMod val="50000"/>
                </a:schemeClr>
              </a:solidFill>
              <a:latin typeface="Gill Sans MT" panose="020B0502020104020203" pitchFamily="34" charset="0"/>
            </a:rPr>
            <a:t>15%)</a:t>
          </a:r>
        </a:p>
        <a:p>
          <a:endParaRPr lang="en-US" sz="1200" baseline="0">
            <a:solidFill>
              <a:schemeClr val="accent1">
                <a:lumMod val="50000"/>
              </a:schemeClr>
            </a:solidFill>
            <a:latin typeface="Gill Sans MT" panose="020B0502020104020203" pitchFamily="34" charset="0"/>
          </a:endParaRPr>
        </a:p>
        <a:p>
          <a:r>
            <a:rPr lang="en-US" sz="1200" baseline="0">
              <a:solidFill>
                <a:schemeClr val="accent1">
                  <a:lumMod val="50000"/>
                </a:schemeClr>
              </a:solidFill>
              <a:latin typeface="Gill Sans MT" panose="020B0502020104020203" pitchFamily="34" charset="0"/>
            </a:rPr>
            <a:t>* An individual IPC intervention using a more advanced platform that will require the purchase of software and several tablets for interviewers, estimated to be an additional 20% of the total costs (enter 20%)</a:t>
          </a:r>
        </a:p>
        <a:p>
          <a:endParaRPr lang="en-US" sz="1200" baseline="0">
            <a:solidFill>
              <a:schemeClr val="accent1">
                <a:lumMod val="50000"/>
              </a:schemeClr>
            </a:solidFill>
            <a:latin typeface="Gill Sans MT" panose="020B0502020104020203" pitchFamily="34" charset="0"/>
          </a:endParaRPr>
        </a:p>
        <a:p>
          <a:r>
            <a:rPr lang="en-US" sz="1200" baseline="0">
              <a:solidFill>
                <a:schemeClr val="accent1">
                  <a:lumMod val="50000"/>
                </a:schemeClr>
              </a:solidFill>
              <a:latin typeface="Gill Sans MT" panose="020B0502020104020203" pitchFamily="34" charset="0"/>
            </a:rPr>
            <a:t>* A novel high-intensity intervention expected to be of even greater intensity than the "high intensity" designation with costs expected to be twice those of other high intensity costs (enter 100%)</a:t>
          </a:r>
        </a:p>
        <a:p>
          <a:endParaRPr lang="en-US" sz="1200" baseline="0">
            <a:solidFill>
              <a:schemeClr val="accent1">
                <a:lumMod val="50000"/>
              </a:schemeClr>
            </a:solidFill>
            <a:latin typeface="Gill Sans MT" panose="020B0502020104020203" pitchFamily="34" charset="0"/>
          </a:endParaRPr>
        </a:p>
        <a:p>
          <a:endParaRPr lang="en-US" sz="1200" baseline="0">
            <a:solidFill>
              <a:schemeClr val="accent1">
                <a:lumMod val="50000"/>
              </a:schemeClr>
            </a:solidFill>
            <a:latin typeface="Gill Sans MT" panose="020B0502020104020203" pitchFamily="34" charset="0"/>
          </a:endParaRPr>
        </a:p>
      </xdr:txBody>
    </xdr:sp>
    <xdr:clientData/>
  </xdr:twoCellAnchor>
  <xdr:twoCellAnchor>
    <xdr:from>
      <xdr:col>1</xdr:col>
      <xdr:colOff>228600</xdr:colOff>
      <xdr:row>73</xdr:row>
      <xdr:rowOff>0</xdr:rowOff>
    </xdr:from>
    <xdr:to>
      <xdr:col>14</xdr:col>
      <xdr:colOff>498475</xdr:colOff>
      <xdr:row>76</xdr:row>
      <xdr:rowOff>114300</xdr:rowOff>
    </xdr:to>
    <xdr:sp macro="" textlink="">
      <xdr:nvSpPr>
        <xdr:cNvPr id="24" name="TextBox 23">
          <a:extLst>
            <a:ext uri="{FF2B5EF4-FFF2-40B4-BE49-F238E27FC236}">
              <a16:creationId xmlns:a16="http://schemas.microsoft.com/office/drawing/2014/main" id="{38EA9566-2CB1-4F1F-A97D-B8AA2C9D9B00}"/>
            </a:ext>
          </a:extLst>
        </xdr:cNvPr>
        <xdr:cNvSpPr txBox="1"/>
      </xdr:nvSpPr>
      <xdr:spPr>
        <a:xfrm>
          <a:off x="565150" y="15303500"/>
          <a:ext cx="8347075" cy="6667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0" baseline="0">
              <a:solidFill>
                <a:schemeClr val="accent1">
                  <a:lumMod val="50000"/>
                </a:schemeClr>
              </a:solidFill>
              <a:latin typeface="Gill Sans MT" panose="020B0502020104020203" pitchFamily="34" charset="0"/>
            </a:rPr>
            <a:t>The output generated by Steps 1-4 will yield a row of outputs (as shown above) for a single set of intervention characteristics. If an SBC program has more than one type of SBC intervention or will take place in more than one country, use this table to compile your estimates. The compiled table can then be copied into budgets or other documents.</a:t>
          </a:r>
        </a:p>
        <a:p>
          <a:endParaRPr lang="en-US" sz="1200" b="0" baseline="0">
            <a:solidFill>
              <a:schemeClr val="accent1">
                <a:lumMod val="50000"/>
              </a:schemeClr>
            </a:solidFill>
            <a:latin typeface="Gill Sans MT" panose="020B0502020104020203" pitchFamily="34" charset="0"/>
          </a:endParaRPr>
        </a:p>
        <a:p>
          <a:r>
            <a:rPr lang="en-US" sz="1200" b="0" baseline="0">
              <a:solidFill>
                <a:schemeClr val="accent1">
                  <a:lumMod val="50000"/>
                </a:schemeClr>
              </a:solidFill>
              <a:latin typeface="Gill Sans MT" panose="020B0502020104020203" pitchFamily="34" charset="0"/>
            </a:rPr>
            <a:t>When using the table feature, select the cells in this row (AG9:AK9) and copy them (Ctrl+C) and paste them into the table below using the "paste values" function. To paste values in the table, select the cells where you want to paste the values and use (Ctrl+Alt+V) to bring up the Paste Special menu and then select "Values". If desired, one can rename the intervention name to account for looking across countries as well as interventions. The table will show total budget and estimated reach, with a range of low to high reach estimates.</a:t>
          </a:r>
          <a:endParaRPr lang="en-US" sz="1200" baseline="0">
            <a:solidFill>
              <a:schemeClr val="accent1">
                <a:lumMod val="50000"/>
              </a:schemeClr>
            </a:solidFill>
            <a:latin typeface="Gill Sans MT" panose="020B0502020104020203" pitchFamily="34" charset="0"/>
          </a:endParaRPr>
        </a:p>
        <a:p>
          <a:endParaRPr lang="en-US" sz="1200" baseline="0">
            <a:solidFill>
              <a:schemeClr val="accent1">
                <a:lumMod val="50000"/>
              </a:schemeClr>
            </a:solidFill>
            <a:latin typeface="Gill Sans MT" panose="020B0502020104020203" pitchFamily="34" charset="0"/>
          </a:endParaRPr>
        </a:p>
      </xdr:txBody>
    </xdr:sp>
    <xdr:clientData/>
  </xdr:twoCellAnchor>
  <xdr:twoCellAnchor editAs="oneCell">
    <xdr:from>
      <xdr:col>12</xdr:col>
      <xdr:colOff>207408</xdr:colOff>
      <xdr:row>78</xdr:row>
      <xdr:rowOff>76200</xdr:rowOff>
    </xdr:from>
    <xdr:to>
      <xdr:col>17</xdr:col>
      <xdr:colOff>600074</xdr:colOff>
      <xdr:row>92</xdr:row>
      <xdr:rowOff>168767</xdr:rowOff>
    </xdr:to>
    <xdr:pic>
      <xdr:nvPicPr>
        <xdr:cNvPr id="26" name="Picture 25">
          <a:extLst>
            <a:ext uri="{FF2B5EF4-FFF2-40B4-BE49-F238E27FC236}">
              <a16:creationId xmlns:a16="http://schemas.microsoft.com/office/drawing/2014/main" id="{3503CE6A-3AB8-5418-B38A-C9646FFA3BDA}"/>
            </a:ext>
          </a:extLst>
        </xdr:cNvPr>
        <xdr:cNvPicPr>
          <a:picLocks noChangeAspect="1"/>
        </xdr:cNvPicPr>
      </xdr:nvPicPr>
      <xdr:blipFill>
        <a:blip xmlns:r="http://schemas.openxmlformats.org/officeDocument/2006/relationships" r:embed="rId6"/>
        <a:stretch>
          <a:fillRect/>
        </a:stretch>
      </xdr:blipFill>
      <xdr:spPr>
        <a:xfrm>
          <a:off x="7255908" y="15811500"/>
          <a:ext cx="3440666" cy="2626217"/>
        </a:xfrm>
        <a:prstGeom prst="rect">
          <a:avLst/>
        </a:prstGeom>
      </xdr:spPr>
    </xdr:pic>
    <xdr:clientData/>
  </xdr:twoCellAnchor>
  <xdr:twoCellAnchor>
    <xdr:from>
      <xdr:col>13</xdr:col>
      <xdr:colOff>201930</xdr:colOff>
      <xdr:row>83</xdr:row>
      <xdr:rowOff>25400</xdr:rowOff>
    </xdr:from>
    <xdr:to>
      <xdr:col>14</xdr:col>
      <xdr:colOff>107950</xdr:colOff>
      <xdr:row>83</xdr:row>
      <xdr:rowOff>127000</xdr:rowOff>
    </xdr:to>
    <xdr:cxnSp macro="">
      <xdr:nvCxnSpPr>
        <xdr:cNvPr id="28" name="Straight Arrow Connector 27">
          <a:extLst>
            <a:ext uri="{FF2B5EF4-FFF2-40B4-BE49-F238E27FC236}">
              <a16:creationId xmlns:a16="http://schemas.microsoft.com/office/drawing/2014/main" id="{541CCA83-9E9D-D458-D11F-20A9BB08C302}"/>
            </a:ext>
          </a:extLst>
        </xdr:cNvPr>
        <xdr:cNvCxnSpPr/>
      </xdr:nvCxnSpPr>
      <xdr:spPr>
        <a:xfrm flipH="1" flipV="1">
          <a:off x="7853680" y="16808450"/>
          <a:ext cx="515620" cy="101600"/>
        </a:xfrm>
        <a:prstGeom prst="straightConnector1">
          <a:avLst/>
        </a:prstGeom>
        <a:ln w="57150">
          <a:solidFill>
            <a:schemeClr val="accent6">
              <a:lumMod val="25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6</xdr:col>
      <xdr:colOff>298450</xdr:colOff>
      <xdr:row>42</xdr:row>
      <xdr:rowOff>473591</xdr:rowOff>
    </xdr:from>
    <xdr:to>
      <xdr:col>9</xdr:col>
      <xdr:colOff>333045</xdr:colOff>
      <xdr:row>44</xdr:row>
      <xdr:rowOff>34867</xdr:rowOff>
    </xdr:to>
    <xdr:pic>
      <xdr:nvPicPr>
        <xdr:cNvPr id="20" name="Picture 19">
          <a:extLst>
            <a:ext uri="{FF2B5EF4-FFF2-40B4-BE49-F238E27FC236}">
              <a16:creationId xmlns:a16="http://schemas.microsoft.com/office/drawing/2014/main" id="{2D90A9C1-C693-4CDC-9473-E02C46E7C502}"/>
            </a:ext>
          </a:extLst>
        </xdr:cNvPr>
        <xdr:cNvPicPr>
          <a:picLocks noChangeAspect="1"/>
        </xdr:cNvPicPr>
      </xdr:nvPicPr>
      <xdr:blipFill>
        <a:blip xmlns:r="http://schemas.openxmlformats.org/officeDocument/2006/relationships" r:embed="rId7"/>
        <a:stretch>
          <a:fillRect/>
        </a:stretch>
      </xdr:blipFill>
      <xdr:spPr>
        <a:xfrm>
          <a:off x="3683000" y="9617591"/>
          <a:ext cx="1863395" cy="329626"/>
        </a:xfrm>
        <a:prstGeom prst="rect">
          <a:avLst/>
        </a:prstGeom>
      </xdr:spPr>
    </xdr:pic>
    <xdr:clientData/>
  </xdr:twoCellAnchor>
  <xdr:twoCellAnchor>
    <xdr:from>
      <xdr:col>8</xdr:col>
      <xdr:colOff>203200</xdr:colOff>
      <xdr:row>34</xdr:row>
      <xdr:rowOff>44450</xdr:rowOff>
    </xdr:from>
    <xdr:to>
      <xdr:col>14</xdr:col>
      <xdr:colOff>142875</xdr:colOff>
      <xdr:row>40</xdr:row>
      <xdr:rowOff>63500</xdr:rowOff>
    </xdr:to>
    <xdr:sp macro="" textlink="">
      <xdr:nvSpPr>
        <xdr:cNvPr id="3" name="TextBox 2">
          <a:extLst>
            <a:ext uri="{FF2B5EF4-FFF2-40B4-BE49-F238E27FC236}">
              <a16:creationId xmlns:a16="http://schemas.microsoft.com/office/drawing/2014/main" id="{2A630059-55EB-43C9-A4AC-7C26F17E7680}"/>
            </a:ext>
          </a:extLst>
        </xdr:cNvPr>
        <xdr:cNvSpPr txBox="1"/>
      </xdr:nvSpPr>
      <xdr:spPr>
        <a:xfrm>
          <a:off x="4806950" y="7677150"/>
          <a:ext cx="3597275" cy="11620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aseline="0">
              <a:solidFill>
                <a:schemeClr val="accent1">
                  <a:lumMod val="50000"/>
                </a:schemeClr>
              </a:solidFill>
              <a:latin typeface="Gill Sans MT" panose="020B0502020104020203" pitchFamily="34" charset="0"/>
            </a:rPr>
            <a:t>If using the</a:t>
          </a:r>
          <a:r>
            <a:rPr lang="en-US" sz="1200" baseline="0">
              <a:solidFill>
                <a:schemeClr val="accent6"/>
              </a:solidFill>
              <a:latin typeface="Gill Sans MT" panose="020B0502020104020203" pitchFamily="34" charset="0"/>
            </a:rPr>
            <a:t> </a:t>
          </a:r>
          <a:r>
            <a:rPr lang="en-US" sz="1200" b="1" u="sng" baseline="0">
              <a:solidFill>
                <a:srgbClr val="7030A0"/>
              </a:solidFill>
              <a:latin typeface="Gill Sans MT" panose="020B0502020104020203" pitchFamily="34" charset="0"/>
            </a:rPr>
            <a:t>purple</a:t>
          </a:r>
          <a:r>
            <a:rPr lang="en-US" sz="1200" baseline="0">
              <a:solidFill>
                <a:srgbClr val="7030A0"/>
              </a:solidFill>
              <a:latin typeface="Gill Sans MT" panose="020B0502020104020203" pitchFamily="34" charset="0"/>
            </a:rPr>
            <a:t> </a:t>
          </a:r>
          <a:r>
            <a:rPr lang="en-US" sz="1200" baseline="0">
              <a:solidFill>
                <a:schemeClr val="accent1">
                  <a:lumMod val="50000"/>
                </a:schemeClr>
              </a:solidFill>
              <a:latin typeface="Gill Sans MT" panose="020B0502020104020203" pitchFamily="34" charset="0"/>
            </a:rPr>
            <a:t>tab, enter in your total estimated reach for the SBC intervention. The reach should estimate the total number of people reached over the life of the intervention. </a:t>
          </a:r>
        </a:p>
      </xdr:txBody>
    </xdr:sp>
    <xdr:clientData/>
  </xdr:twoCellAnchor>
  <xdr:twoCellAnchor editAs="oneCell">
    <xdr:from>
      <xdr:col>8</xdr:col>
      <xdr:colOff>431800</xdr:colOff>
      <xdr:row>39</xdr:row>
      <xdr:rowOff>139599</xdr:rowOff>
    </xdr:from>
    <xdr:to>
      <xdr:col>12</xdr:col>
      <xdr:colOff>46423</xdr:colOff>
      <xdr:row>41</xdr:row>
      <xdr:rowOff>57150</xdr:rowOff>
    </xdr:to>
    <xdr:pic>
      <xdr:nvPicPr>
        <xdr:cNvPr id="4" name="Picture 3">
          <a:extLst>
            <a:ext uri="{FF2B5EF4-FFF2-40B4-BE49-F238E27FC236}">
              <a16:creationId xmlns:a16="http://schemas.microsoft.com/office/drawing/2014/main" id="{2D5D3434-0E04-B863-0BF3-486CA0C43592}"/>
            </a:ext>
          </a:extLst>
        </xdr:cNvPr>
        <xdr:cNvPicPr>
          <a:picLocks noChangeAspect="1"/>
        </xdr:cNvPicPr>
      </xdr:nvPicPr>
      <xdr:blipFill>
        <a:blip xmlns:r="http://schemas.openxmlformats.org/officeDocument/2006/relationships" r:embed="rId8"/>
        <a:stretch>
          <a:fillRect/>
        </a:stretch>
      </xdr:blipFill>
      <xdr:spPr>
        <a:xfrm>
          <a:off x="5035550" y="8724799"/>
          <a:ext cx="2205423" cy="292201"/>
        </a:xfrm>
        <a:prstGeom prst="rect">
          <a:avLst/>
        </a:prstGeom>
      </xdr:spPr>
    </xdr:pic>
    <xdr:clientData/>
  </xdr:twoCellAnchor>
  <xdr:twoCellAnchor editAs="oneCell">
    <xdr:from>
      <xdr:col>1</xdr:col>
      <xdr:colOff>215901</xdr:colOff>
      <xdr:row>66</xdr:row>
      <xdr:rowOff>128803</xdr:rowOff>
    </xdr:from>
    <xdr:to>
      <xdr:col>10</xdr:col>
      <xdr:colOff>704851</xdr:colOff>
      <xdr:row>69</xdr:row>
      <xdr:rowOff>49180</xdr:rowOff>
    </xdr:to>
    <xdr:pic>
      <xdr:nvPicPr>
        <xdr:cNvPr id="6" name="Picture 5">
          <a:extLst>
            <a:ext uri="{FF2B5EF4-FFF2-40B4-BE49-F238E27FC236}">
              <a16:creationId xmlns:a16="http://schemas.microsoft.com/office/drawing/2014/main" id="{E695B397-A6FD-F6BA-06B8-06EC31101FB1}"/>
            </a:ext>
          </a:extLst>
        </xdr:cNvPr>
        <xdr:cNvPicPr>
          <a:picLocks noChangeAspect="1"/>
        </xdr:cNvPicPr>
      </xdr:nvPicPr>
      <xdr:blipFill>
        <a:blip xmlns:r="http://schemas.openxmlformats.org/officeDocument/2006/relationships" r:embed="rId9"/>
        <a:stretch>
          <a:fillRect/>
        </a:stretch>
      </xdr:blipFill>
      <xdr:spPr>
        <a:xfrm>
          <a:off x="552451" y="14143253"/>
          <a:ext cx="5975350" cy="472827"/>
        </a:xfrm>
        <a:prstGeom prst="rect">
          <a:avLst/>
        </a:prstGeom>
      </xdr:spPr>
    </xdr:pic>
    <xdr:clientData/>
  </xdr:twoCellAnchor>
  <xdr:twoCellAnchor editAs="oneCell">
    <xdr:from>
      <xdr:col>1</xdr:col>
      <xdr:colOff>266699</xdr:colOff>
      <xdr:row>69</xdr:row>
      <xdr:rowOff>158538</xdr:rowOff>
    </xdr:from>
    <xdr:to>
      <xdr:col>10</xdr:col>
      <xdr:colOff>654050</xdr:colOff>
      <xdr:row>72</xdr:row>
      <xdr:rowOff>107866</xdr:rowOff>
    </xdr:to>
    <xdr:pic>
      <xdr:nvPicPr>
        <xdr:cNvPr id="7" name="Picture 6">
          <a:extLst>
            <a:ext uri="{FF2B5EF4-FFF2-40B4-BE49-F238E27FC236}">
              <a16:creationId xmlns:a16="http://schemas.microsoft.com/office/drawing/2014/main" id="{4013FA36-1BE8-1253-2B08-D120664B5E4C}"/>
            </a:ext>
          </a:extLst>
        </xdr:cNvPr>
        <xdr:cNvPicPr>
          <a:picLocks noChangeAspect="1"/>
        </xdr:cNvPicPr>
      </xdr:nvPicPr>
      <xdr:blipFill>
        <a:blip xmlns:r="http://schemas.openxmlformats.org/officeDocument/2006/relationships" r:embed="rId10"/>
        <a:stretch>
          <a:fillRect/>
        </a:stretch>
      </xdr:blipFill>
      <xdr:spPr>
        <a:xfrm>
          <a:off x="603249" y="14725438"/>
          <a:ext cx="5873751" cy="501778"/>
        </a:xfrm>
        <a:prstGeom prst="rect">
          <a:avLst/>
        </a:prstGeom>
      </xdr:spPr>
    </xdr:pic>
    <xdr:clientData/>
  </xdr:twoCellAnchor>
  <xdr:twoCellAnchor editAs="oneCell">
    <xdr:from>
      <xdr:col>1</xdr:col>
      <xdr:colOff>228600</xdr:colOff>
      <xdr:row>78</xdr:row>
      <xdr:rowOff>18220</xdr:rowOff>
    </xdr:from>
    <xdr:to>
      <xdr:col>11</xdr:col>
      <xdr:colOff>235546</xdr:colOff>
      <xdr:row>94</xdr:row>
      <xdr:rowOff>6350</xdr:rowOff>
    </xdr:to>
    <xdr:pic>
      <xdr:nvPicPr>
        <xdr:cNvPr id="12" name="Picture 11">
          <a:extLst>
            <a:ext uri="{FF2B5EF4-FFF2-40B4-BE49-F238E27FC236}">
              <a16:creationId xmlns:a16="http://schemas.microsoft.com/office/drawing/2014/main" id="{657F1D0F-2253-0689-DC98-0B9D120F0D92}"/>
            </a:ext>
          </a:extLst>
        </xdr:cNvPr>
        <xdr:cNvPicPr>
          <a:picLocks noChangeAspect="1"/>
        </xdr:cNvPicPr>
      </xdr:nvPicPr>
      <xdr:blipFill>
        <a:blip xmlns:r="http://schemas.openxmlformats.org/officeDocument/2006/relationships" r:embed="rId11"/>
        <a:stretch>
          <a:fillRect/>
        </a:stretch>
      </xdr:blipFill>
      <xdr:spPr>
        <a:xfrm>
          <a:off x="565150" y="16242470"/>
          <a:ext cx="6255346" cy="2934530"/>
        </a:xfrm>
        <a:prstGeom prst="rect">
          <a:avLst/>
        </a:prstGeom>
      </xdr:spPr>
    </xdr:pic>
    <xdr:clientData/>
  </xdr:twoCellAnchor>
  <xdr:twoCellAnchor editAs="oneCell">
    <xdr:from>
      <xdr:col>1</xdr:col>
      <xdr:colOff>196851</xdr:colOff>
      <xdr:row>96</xdr:row>
      <xdr:rowOff>104268</xdr:rowOff>
    </xdr:from>
    <xdr:to>
      <xdr:col>11</xdr:col>
      <xdr:colOff>215900</xdr:colOff>
      <xdr:row>112</xdr:row>
      <xdr:rowOff>110561</xdr:rowOff>
    </xdr:to>
    <xdr:pic>
      <xdr:nvPicPr>
        <xdr:cNvPr id="14" name="Picture 13">
          <a:extLst>
            <a:ext uri="{FF2B5EF4-FFF2-40B4-BE49-F238E27FC236}">
              <a16:creationId xmlns:a16="http://schemas.microsoft.com/office/drawing/2014/main" id="{51A43800-7955-4685-A87D-52749B0CCF99}"/>
            </a:ext>
          </a:extLst>
        </xdr:cNvPr>
        <xdr:cNvPicPr>
          <a:picLocks noChangeAspect="1"/>
        </xdr:cNvPicPr>
      </xdr:nvPicPr>
      <xdr:blipFill>
        <a:blip xmlns:r="http://schemas.openxmlformats.org/officeDocument/2006/relationships" r:embed="rId12"/>
        <a:stretch>
          <a:fillRect/>
        </a:stretch>
      </xdr:blipFill>
      <xdr:spPr>
        <a:xfrm>
          <a:off x="533401" y="19643218"/>
          <a:ext cx="6267449" cy="295269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247651</xdr:colOff>
      <xdr:row>15</xdr:row>
      <xdr:rowOff>159597</xdr:rowOff>
    </xdr:from>
    <xdr:to>
      <xdr:col>3</xdr:col>
      <xdr:colOff>0</xdr:colOff>
      <xdr:row>31</xdr:row>
      <xdr:rowOff>101600</xdr:rowOff>
    </xdr:to>
    <xdr:grpSp>
      <xdr:nvGrpSpPr>
        <xdr:cNvPr id="2" name="Group 1">
          <a:extLst>
            <a:ext uri="{FF2B5EF4-FFF2-40B4-BE49-F238E27FC236}">
              <a16:creationId xmlns:a16="http://schemas.microsoft.com/office/drawing/2014/main" id="{FAC0C47A-74D7-48F7-AE06-7BDE47120C96}"/>
            </a:ext>
          </a:extLst>
        </xdr:cNvPr>
        <xdr:cNvGrpSpPr/>
      </xdr:nvGrpSpPr>
      <xdr:grpSpPr>
        <a:xfrm>
          <a:off x="247651" y="3556847"/>
          <a:ext cx="5568949" cy="4139353"/>
          <a:chOff x="4690243" y="394263"/>
          <a:chExt cx="5396581" cy="4769710"/>
        </a:xfrm>
      </xdr:grpSpPr>
      <mc:AlternateContent xmlns:mc="http://schemas.openxmlformats.org/markup-compatibility/2006">
        <mc:Choice xmlns:cx1="http://schemas.microsoft.com/office/drawing/2015/9/8/chartex" Requires="cx1">
          <xdr:graphicFrame macro="">
            <xdr:nvGraphicFramePr>
              <xdr:cNvPr id="3" name="Chart 2">
                <a:extLst>
                  <a:ext uri="{FF2B5EF4-FFF2-40B4-BE49-F238E27FC236}">
                    <a16:creationId xmlns:a16="http://schemas.microsoft.com/office/drawing/2014/main" id="{3195F406-8CF7-3B2C-9DAB-5656434402AC}"/>
                  </a:ext>
                </a:extLst>
              </xdr:cNvPr>
              <xdr:cNvGraphicFramePr/>
            </xdr:nvGraphicFramePr>
            <xdr:xfrm>
              <a:off x="4703502" y="763690"/>
              <a:ext cx="5374483" cy="4400283"/>
            </xdr:xfrm>
            <a:graphic>
              <a:graphicData uri="http://schemas.microsoft.com/office/drawing/2014/chartex">
                <cx:chart xmlns:cx="http://schemas.microsoft.com/office/drawing/2014/chartex" xmlns:r="http://schemas.openxmlformats.org/officeDocument/2006/relationships" r:id="rId1"/>
              </a:graphicData>
            </a:graphic>
          </xdr:graphicFrame>
        </mc:Choice>
        <mc:Fallback>
          <xdr:sp macro="" textlink="">
            <xdr:nvSpPr>
              <xdr:cNvPr id="0" name=""/>
              <xdr:cNvSpPr>
                <a:spLocks noTextEdit="1"/>
              </xdr:cNvSpPr>
            </xdr:nvSpPr>
            <xdr:spPr>
              <a:xfrm>
                <a:off x="4703502" y="763690"/>
                <a:ext cx="5374483" cy="4400283"/>
              </a:xfrm>
              <a:prstGeom prst="rect">
                <a:avLst/>
              </a:prstGeom>
              <a:solidFill>
                <a:prstClr val="white"/>
              </a:solidFill>
              <a:ln w="1">
                <a:solidFill>
                  <a:prstClr val="green"/>
                </a:solidFill>
              </a:ln>
            </xdr:spPr>
            <xdr:txBody>
              <a:bodyPr vertOverflow="clip" horzOverflow="clip"/>
              <a:lstStyle/>
              <a:p>
                <a:r>
                  <a:rPr lang="en-US" sz="1100"/>
                  <a:t>This chart isn't available in your version of Excel.
Editing this shape or saving this workbook into a different file format will permanently break the chart.</a:t>
                </a:r>
              </a:p>
            </xdr:txBody>
          </xdr:sp>
        </mc:Fallback>
      </mc:AlternateContent>
      <xdr:sp macro="" textlink="$B$27">
        <xdr:nvSpPr>
          <xdr:cNvPr id="4" name="TextBox 3">
            <a:extLst>
              <a:ext uri="{FF2B5EF4-FFF2-40B4-BE49-F238E27FC236}">
                <a16:creationId xmlns:a16="http://schemas.microsoft.com/office/drawing/2014/main" id="{D002DB8E-DCF7-791A-CF64-A4EA82D79257}"/>
              </a:ext>
            </a:extLst>
          </xdr:cNvPr>
          <xdr:cNvSpPr txBox="1"/>
        </xdr:nvSpPr>
        <xdr:spPr>
          <a:xfrm>
            <a:off x="4690243" y="394263"/>
            <a:ext cx="5396581" cy="4322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fld id="{D401B71A-1566-4C74-9227-816189477CAA}" type="TxLink">
              <a:rPr lang="en-US" sz="1200" b="0" i="0" u="none" strike="noStrike">
                <a:solidFill>
                  <a:srgbClr val="000000"/>
                </a:solidFill>
                <a:latin typeface="Calibri"/>
                <a:cs typeface="Calibri"/>
              </a:rPr>
              <a:pPr algn="ctr"/>
              <a:t>Uzbekistan / SMS/phone  / Average Intensity / HIV / Public Ownership</a:t>
            </a:fld>
            <a:endParaRPr lang="en-US" sz="1100" b="0" u="none"/>
          </a:p>
        </xdr:txBody>
      </xdr:sp>
    </xdr:grpSp>
    <xdr:clientData/>
  </xdr:twoCellAnchor>
  <xdr:twoCellAnchor>
    <xdr:from>
      <xdr:col>0</xdr:col>
      <xdr:colOff>952501</xdr:colOff>
      <xdr:row>31</xdr:row>
      <xdr:rowOff>129592</xdr:rowOff>
    </xdr:from>
    <xdr:to>
      <xdr:col>3</xdr:col>
      <xdr:colOff>19439</xdr:colOff>
      <xdr:row>35</xdr:row>
      <xdr:rowOff>64797</xdr:rowOff>
    </xdr:to>
    <xdr:sp macro="" textlink="">
      <xdr:nvSpPr>
        <xdr:cNvPr id="5" name="TextBox 4">
          <a:hlinkClick xmlns:r="http://schemas.openxmlformats.org/officeDocument/2006/relationships" r:id="rId2"/>
          <a:extLst>
            <a:ext uri="{FF2B5EF4-FFF2-40B4-BE49-F238E27FC236}">
              <a16:creationId xmlns:a16="http://schemas.microsoft.com/office/drawing/2014/main" id="{33481B63-C877-3169-222F-F158AED66CCF}"/>
            </a:ext>
          </a:extLst>
        </xdr:cNvPr>
        <xdr:cNvSpPr txBox="1"/>
      </xdr:nvSpPr>
      <xdr:spPr>
        <a:xfrm>
          <a:off x="952501" y="7665357"/>
          <a:ext cx="4885611" cy="76459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aseline="0">
              <a:solidFill>
                <a:schemeClr val="dk1"/>
              </a:solidFill>
              <a:effectLst/>
              <a:latin typeface="+mn-lt"/>
              <a:ea typeface="+mn-ea"/>
              <a:cs typeface="+mn-cs"/>
            </a:rPr>
            <a:t>While the tool presents an estimated rate of unit costs, the overall range for different SBC interventions vary substantially. Further details on reported unit costs can be found in the  </a:t>
          </a:r>
          <a:r>
            <a:rPr lang="en-US" sz="1100" u="sng" baseline="0">
              <a:solidFill>
                <a:schemeClr val="dk1"/>
              </a:solidFill>
              <a:effectLst/>
              <a:latin typeface="+mn-lt"/>
              <a:ea typeface="+mn-ea"/>
              <a:cs typeface="+mn-cs"/>
            </a:rPr>
            <a:t>SBC Cost Repository</a:t>
          </a:r>
          <a:r>
            <a:rPr lang="en-US" sz="1100" baseline="0">
              <a:solidFill>
                <a:schemeClr val="dk1"/>
              </a:solidFill>
              <a:effectLst/>
              <a:latin typeface="+mn-lt"/>
              <a:ea typeface="+mn-ea"/>
              <a:cs typeface="+mn-cs"/>
            </a:rPr>
            <a:t>.</a:t>
          </a:r>
          <a:endParaRPr 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247651</xdr:colOff>
      <xdr:row>15</xdr:row>
      <xdr:rowOff>159597</xdr:rowOff>
    </xdr:from>
    <xdr:to>
      <xdr:col>3</xdr:col>
      <xdr:colOff>0</xdr:colOff>
      <xdr:row>31</xdr:row>
      <xdr:rowOff>101600</xdr:rowOff>
    </xdr:to>
    <xdr:grpSp>
      <xdr:nvGrpSpPr>
        <xdr:cNvPr id="2" name="Group 1">
          <a:extLst>
            <a:ext uri="{FF2B5EF4-FFF2-40B4-BE49-F238E27FC236}">
              <a16:creationId xmlns:a16="http://schemas.microsoft.com/office/drawing/2014/main" id="{E176118F-150B-4BCF-BC00-E4237206D684}"/>
            </a:ext>
          </a:extLst>
        </xdr:cNvPr>
        <xdr:cNvGrpSpPr/>
      </xdr:nvGrpSpPr>
      <xdr:grpSpPr>
        <a:xfrm>
          <a:off x="247651" y="3556847"/>
          <a:ext cx="5568949" cy="3910753"/>
          <a:chOff x="4690243" y="394263"/>
          <a:chExt cx="5396581" cy="4769710"/>
        </a:xfrm>
      </xdr:grpSpPr>
      <mc:AlternateContent xmlns:mc="http://schemas.openxmlformats.org/markup-compatibility/2006">
        <mc:Choice xmlns:cx1="http://schemas.microsoft.com/office/drawing/2015/9/8/chartex" Requires="cx1">
          <xdr:graphicFrame macro="">
            <xdr:nvGraphicFramePr>
              <xdr:cNvPr id="3" name="Chart 2">
                <a:extLst>
                  <a:ext uri="{FF2B5EF4-FFF2-40B4-BE49-F238E27FC236}">
                    <a16:creationId xmlns:a16="http://schemas.microsoft.com/office/drawing/2014/main" id="{FF18C413-DEBD-D5C0-61D2-BD99F5682A16}"/>
                  </a:ext>
                </a:extLst>
              </xdr:cNvPr>
              <xdr:cNvGraphicFramePr/>
            </xdr:nvGraphicFramePr>
            <xdr:xfrm>
              <a:off x="4703502" y="763690"/>
              <a:ext cx="5374483" cy="4400283"/>
            </xdr:xfrm>
            <a:graphic>
              <a:graphicData uri="http://schemas.microsoft.com/office/drawing/2014/chartex">
                <cx:chart xmlns:cx="http://schemas.microsoft.com/office/drawing/2014/chartex" xmlns:r="http://schemas.openxmlformats.org/officeDocument/2006/relationships" r:id="rId1"/>
              </a:graphicData>
            </a:graphic>
          </xdr:graphicFrame>
        </mc:Choice>
        <mc:Fallback>
          <xdr:sp macro="" textlink="">
            <xdr:nvSpPr>
              <xdr:cNvPr id="0" name=""/>
              <xdr:cNvSpPr>
                <a:spLocks noTextEdit="1"/>
              </xdr:cNvSpPr>
            </xdr:nvSpPr>
            <xdr:spPr>
              <a:xfrm>
                <a:off x="4703502" y="763690"/>
                <a:ext cx="5374483" cy="4400283"/>
              </a:xfrm>
              <a:prstGeom prst="rect">
                <a:avLst/>
              </a:prstGeom>
              <a:solidFill>
                <a:prstClr val="white"/>
              </a:solidFill>
              <a:ln w="1">
                <a:solidFill>
                  <a:prstClr val="green"/>
                </a:solidFill>
              </a:ln>
            </xdr:spPr>
            <xdr:txBody>
              <a:bodyPr vertOverflow="clip" horzOverflow="clip"/>
              <a:lstStyle/>
              <a:p>
                <a:r>
                  <a:rPr lang="en-US" sz="1100"/>
                  <a:t>This chart isn't available in your version of Excel.
Editing this shape or saving this workbook into a different file format will permanently break the chart.</a:t>
                </a:r>
              </a:p>
            </xdr:txBody>
          </xdr:sp>
        </mc:Fallback>
      </mc:AlternateContent>
      <xdr:sp macro="" textlink="$B$27">
        <xdr:nvSpPr>
          <xdr:cNvPr id="4" name="TextBox 3">
            <a:extLst>
              <a:ext uri="{FF2B5EF4-FFF2-40B4-BE49-F238E27FC236}">
                <a16:creationId xmlns:a16="http://schemas.microsoft.com/office/drawing/2014/main" id="{70B9BBC6-07B2-25AA-2CEB-44CE5A3719E2}"/>
              </a:ext>
            </a:extLst>
          </xdr:cNvPr>
          <xdr:cNvSpPr txBox="1"/>
        </xdr:nvSpPr>
        <xdr:spPr>
          <a:xfrm>
            <a:off x="4690243" y="394263"/>
            <a:ext cx="5396581" cy="4322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fld id="{D401B71A-1566-4C74-9227-816189477CAA}" type="TxLink">
              <a:rPr lang="en-US" sz="1200" b="0" i="0" u="none" strike="noStrike">
                <a:solidFill>
                  <a:srgbClr val="000000"/>
                </a:solidFill>
                <a:latin typeface="Calibri"/>
                <a:cs typeface="Calibri"/>
              </a:rPr>
              <a:pPr algn="ctr"/>
              <a:t>Zimbabwe / Group IPC / High Intensity / FP/RH / NGO Ownership</a:t>
            </a:fld>
            <a:endParaRPr lang="en-US" sz="1100" b="0" u="none"/>
          </a:p>
        </xdr:txBody>
      </xdr:sp>
    </xdr:grpSp>
    <xdr:clientData/>
  </xdr:twoCellAnchor>
  <xdr:twoCellAnchor>
    <xdr:from>
      <xdr:col>0</xdr:col>
      <xdr:colOff>952501</xdr:colOff>
      <xdr:row>31</xdr:row>
      <xdr:rowOff>129592</xdr:rowOff>
    </xdr:from>
    <xdr:to>
      <xdr:col>3</xdr:col>
      <xdr:colOff>19439</xdr:colOff>
      <xdr:row>35</xdr:row>
      <xdr:rowOff>64797</xdr:rowOff>
    </xdr:to>
    <xdr:sp macro="" textlink="">
      <xdr:nvSpPr>
        <xdr:cNvPr id="5" name="TextBox 4">
          <a:hlinkClick xmlns:r="http://schemas.openxmlformats.org/officeDocument/2006/relationships" r:id="rId2"/>
          <a:extLst>
            <a:ext uri="{FF2B5EF4-FFF2-40B4-BE49-F238E27FC236}">
              <a16:creationId xmlns:a16="http://schemas.microsoft.com/office/drawing/2014/main" id="{66E756CF-06C0-4059-8DC4-A900E3C7529F}"/>
            </a:ext>
          </a:extLst>
        </xdr:cNvPr>
        <xdr:cNvSpPr txBox="1"/>
      </xdr:nvSpPr>
      <xdr:spPr>
        <a:xfrm>
          <a:off x="952501" y="7489242"/>
          <a:ext cx="4883538" cy="7734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aseline="0">
              <a:solidFill>
                <a:schemeClr val="dk1"/>
              </a:solidFill>
              <a:effectLst/>
              <a:latin typeface="+mn-lt"/>
              <a:ea typeface="+mn-ea"/>
              <a:cs typeface="+mn-cs"/>
            </a:rPr>
            <a:t>While the tool presents an estimated rate of unit costs, the overall range for different SBC interventions vary substantially. Further details on reported unit costs can be found in the  </a:t>
          </a:r>
          <a:r>
            <a:rPr lang="en-US" sz="1100" u="sng" baseline="0">
              <a:solidFill>
                <a:schemeClr val="dk1"/>
              </a:solidFill>
              <a:effectLst/>
              <a:latin typeface="+mn-lt"/>
              <a:ea typeface="+mn-ea"/>
              <a:cs typeface="+mn-cs"/>
            </a:rPr>
            <a:t>SBC Cost Repository</a:t>
          </a:r>
          <a:r>
            <a:rPr lang="en-US" sz="1100" baseline="0">
              <a:solidFill>
                <a:schemeClr val="dk1"/>
              </a:solidFill>
              <a:effectLst/>
              <a:latin typeface="+mn-lt"/>
              <a:ea typeface="+mn-ea"/>
              <a:cs typeface="+mn-cs"/>
            </a:rPr>
            <a:t>.</a:t>
          </a:r>
          <a:endParaRPr 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44450</xdr:colOff>
      <xdr:row>3</xdr:row>
      <xdr:rowOff>63500</xdr:rowOff>
    </xdr:from>
    <xdr:to>
      <xdr:col>9</xdr:col>
      <xdr:colOff>209550</xdr:colOff>
      <xdr:row>23</xdr:row>
      <xdr:rowOff>120650</xdr:rowOff>
    </xdr:to>
    <xdr:sp macro="" textlink="">
      <xdr:nvSpPr>
        <xdr:cNvPr id="2" name="TextBox 1">
          <a:extLst>
            <a:ext uri="{FF2B5EF4-FFF2-40B4-BE49-F238E27FC236}">
              <a16:creationId xmlns:a16="http://schemas.microsoft.com/office/drawing/2014/main" id="{CD2A51DC-356F-44A1-BD9D-3C0773F707E0}"/>
            </a:ext>
          </a:extLst>
        </xdr:cNvPr>
        <xdr:cNvSpPr txBox="1"/>
      </xdr:nvSpPr>
      <xdr:spPr>
        <a:xfrm>
          <a:off x="406400" y="749300"/>
          <a:ext cx="10807700" cy="38671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200" u="sng">
            <a:latin typeface="Gill Sans MT" panose="020B0502020104020203" pitchFamily="34" charset="0"/>
          </a:endParaRPr>
        </a:p>
        <a:p>
          <a:r>
            <a:rPr lang="en-US" sz="1100" b="1">
              <a:latin typeface="Gill Sans MT" panose="020B0502020104020203" pitchFamily="34" charset="0"/>
            </a:rPr>
            <a:t>Radio and TV </a:t>
          </a:r>
          <a:r>
            <a:rPr lang="en-US" sz="1100">
              <a:latin typeface="Gill Sans MT" panose="020B0502020104020203" pitchFamily="34" charset="0"/>
            </a:rPr>
            <a:t>- includes</a:t>
          </a:r>
          <a:r>
            <a:rPr lang="en-US" sz="1100" baseline="0">
              <a:latin typeface="Gill Sans MT" panose="020B0502020104020203" pitchFamily="34" charset="0"/>
            </a:rPr>
            <a:t> messages, performances, and serial dramas/edutainment with the focus on behavior change.</a:t>
          </a:r>
        </a:p>
        <a:p>
          <a:endParaRPr lang="en-US" sz="1100" baseline="0">
            <a:latin typeface="Gill Sans MT" panose="020B0502020104020203" pitchFamily="34" charset="0"/>
          </a:endParaRPr>
        </a:p>
        <a:p>
          <a:r>
            <a:rPr lang="en-US" sz="1100" b="1" baseline="0">
              <a:latin typeface="Gill Sans MT" panose="020B0502020104020203" pitchFamily="34" charset="0"/>
            </a:rPr>
            <a:t>Print </a:t>
          </a:r>
          <a:r>
            <a:rPr lang="en-US" sz="1100" baseline="0">
              <a:latin typeface="Gill Sans MT" panose="020B0502020104020203" pitchFamily="34" charset="0"/>
            </a:rPr>
            <a:t>- includes messages printed in newspapers, magazines, posters and flyers.</a:t>
          </a:r>
        </a:p>
        <a:p>
          <a:endParaRPr lang="en-US" sz="1100" baseline="0">
            <a:latin typeface="Gill Sans MT" panose="020B0502020104020203" pitchFamily="34" charset="0"/>
          </a:endParaRPr>
        </a:p>
        <a:p>
          <a:r>
            <a:rPr lang="en-US" sz="1100" b="1" baseline="0">
              <a:latin typeface="Gill Sans MT" panose="020B0502020104020203" pitchFamily="34" charset="0"/>
            </a:rPr>
            <a:t>Mixed mass media </a:t>
          </a:r>
          <a:r>
            <a:rPr lang="en-US" sz="1100" baseline="0">
              <a:latin typeface="Gill Sans MT" panose="020B0502020104020203" pitchFamily="34" charset="0"/>
            </a:rPr>
            <a:t>- includes SBC interventions that employ a combination of mass media interventions (e.g., radio, magazine, and flyers).</a:t>
          </a:r>
        </a:p>
        <a:p>
          <a:endParaRPr lang="en-US" sz="1100" baseline="0">
            <a:latin typeface="Gill Sans MT" panose="020B0502020104020203" pitchFamily="34" charset="0"/>
          </a:endParaRPr>
        </a:p>
        <a:p>
          <a:r>
            <a:rPr lang="en-US" sz="1100" b="1" baseline="0">
              <a:latin typeface="Gill Sans MT" panose="020B0502020104020203" pitchFamily="34" charset="0"/>
            </a:rPr>
            <a:t>Mid media </a:t>
          </a:r>
          <a:r>
            <a:rPr lang="en-US" sz="1100" baseline="0">
              <a:latin typeface="Gill Sans MT" panose="020B0502020104020203" pitchFamily="34" charset="0"/>
            </a:rPr>
            <a:t>- includes interventions communicating at the community level, such as live dramas (e.g., street shows) and community announcements.</a:t>
          </a:r>
        </a:p>
        <a:p>
          <a:endParaRPr lang="en-US" sz="1100" b="1" baseline="0">
            <a:latin typeface="Gill Sans MT" panose="020B0502020104020203" pitchFamily="34" charset="0"/>
          </a:endParaRPr>
        </a:p>
        <a:p>
          <a:r>
            <a:rPr lang="en-US" sz="1100" b="1" baseline="0">
              <a:latin typeface="Gill Sans MT" panose="020B0502020104020203" pitchFamily="34" charset="0"/>
            </a:rPr>
            <a:t>SMS/phone </a:t>
          </a:r>
          <a:r>
            <a:rPr lang="en-US" sz="1100" baseline="0">
              <a:latin typeface="Gill Sans MT" panose="020B0502020104020203" pitchFamily="34" charset="0"/>
            </a:rPr>
            <a:t>- includes SBC messaging sent to individuals via SMS or automated phone calls, such as text message appointment reminders or suggestions for health care seeking or healty behaviors.</a:t>
          </a:r>
        </a:p>
        <a:p>
          <a:endParaRPr lang="en-US" sz="1100" baseline="0">
            <a:latin typeface="Gill Sans MT" panose="020B0502020104020203" pitchFamily="34" charset="0"/>
          </a:endParaRPr>
        </a:p>
        <a:p>
          <a:r>
            <a:rPr lang="en-US" sz="1100" b="1" baseline="0">
              <a:latin typeface="Gill Sans MT" panose="020B0502020104020203" pitchFamily="34" charset="0"/>
            </a:rPr>
            <a:t>Individual IPC </a:t>
          </a:r>
          <a:r>
            <a:rPr lang="en-US" sz="1100" baseline="0">
              <a:latin typeface="Gill Sans MT" panose="020B0502020104020203" pitchFamily="34" charset="0"/>
            </a:rPr>
            <a:t>- includes one-on-one counseling interventions, such as facility-based or home-based IPC and can include both professional and peer-based counseling.</a:t>
          </a:r>
        </a:p>
        <a:p>
          <a:endParaRPr lang="en-US" sz="1100" baseline="0">
            <a:latin typeface="Gill Sans MT" panose="020B0502020104020203" pitchFamily="34" charset="0"/>
          </a:endParaRPr>
        </a:p>
        <a:p>
          <a:r>
            <a:rPr lang="en-US" sz="1100" b="1" baseline="0">
              <a:latin typeface="Gill Sans MT" panose="020B0502020104020203" pitchFamily="34" charset="0"/>
            </a:rPr>
            <a:t>Group IPC - </a:t>
          </a:r>
          <a:r>
            <a:rPr lang="en-US" sz="1100" b="0" baseline="0">
              <a:latin typeface="Gill Sans MT" panose="020B0502020104020203" pitchFamily="34" charset="0"/>
            </a:rPr>
            <a:t>includes counseling conducted in a group setting, such as support groups or educational settings.  Can include both professional and peer-based counseling.</a:t>
          </a:r>
        </a:p>
        <a:p>
          <a:endParaRPr lang="en-US" sz="1100" b="0" baseline="0">
            <a:latin typeface="Gill Sans MT" panose="020B0502020104020203" pitchFamily="34" charset="0"/>
          </a:endParaRPr>
        </a:p>
        <a:p>
          <a:r>
            <a:rPr lang="en-US" sz="1100" b="1" baseline="0">
              <a:latin typeface="Gill Sans MT" panose="020B0502020104020203" pitchFamily="34" charset="0"/>
            </a:rPr>
            <a:t>IPC + other </a:t>
          </a:r>
          <a:r>
            <a:rPr lang="en-US" sz="1100" b="0" baseline="0">
              <a:latin typeface="Gill Sans MT" panose="020B0502020104020203" pitchFamily="34" charset="0"/>
            </a:rPr>
            <a:t>- includes IPC (individual or group) conducted in conjunction with other SBC interventions, such as community engagement or media intervention. This category can represent packages of SBC interventions that include a strong IPC component. It was created to capture IPC interventions that include community engagement since the SBC costing literature does not provide estimates of the unit costs of community engagement on its own.</a:t>
          </a:r>
        </a:p>
        <a:p>
          <a:endParaRPr lang="en-US" sz="1100" b="0" baseline="0">
            <a:latin typeface="Gill Sans MT" panose="020B0502020104020203" pitchFamily="34" charset="0"/>
          </a:endParaRPr>
        </a:p>
        <a:p>
          <a:r>
            <a:rPr lang="en-US" sz="1100" b="1" baseline="0">
              <a:latin typeface="Gill Sans MT" panose="020B0502020104020203" pitchFamily="34" charset="0"/>
            </a:rPr>
            <a:t>Provider communication </a:t>
          </a:r>
          <a:r>
            <a:rPr lang="en-US" sz="1100" b="0" baseline="0">
              <a:latin typeface="Gill Sans MT" panose="020B0502020104020203" pitchFamily="34" charset="0"/>
            </a:rPr>
            <a:t>- </a:t>
          </a:r>
          <a:r>
            <a:rPr lang="en-US" sz="1100" b="0" baseline="0">
              <a:solidFill>
                <a:schemeClr val="dk1"/>
              </a:solidFill>
              <a:effectLst/>
              <a:latin typeface="+mn-lt"/>
              <a:ea typeface="+mn-ea"/>
              <a:cs typeface="+mn-cs"/>
            </a:rPr>
            <a:t>i</a:t>
          </a:r>
          <a:r>
            <a:rPr lang="en-US" sz="1100">
              <a:solidFill>
                <a:schemeClr val="dk1"/>
              </a:solidFill>
              <a:effectLst/>
              <a:latin typeface="+mn-lt"/>
              <a:ea typeface="+mn-ea"/>
              <a:cs typeface="+mn-cs"/>
            </a:rPr>
            <a:t>ncludes either (1) an SBC intervention designed to address a provider’s knowledge and attitudes to change a specific behavior (i.e. provider behavior change) or (2) an SBC intervention implemented by a provider designed to address a patient’s knowledge and attitudes to change a specific behavior (i.e. service communication). </a:t>
          </a:r>
          <a:endParaRPr lang="en-US" sz="1200" baseline="0">
            <a:latin typeface="Gill Sans MT" panose="020B0502020104020203" pitchFamily="34" charset="0"/>
          </a:endParaRPr>
        </a:p>
      </xdr:txBody>
    </xdr:sp>
    <xdr:clientData/>
  </xdr:twoCellAnchor>
  <xdr:twoCellAnchor>
    <xdr:from>
      <xdr:col>1</xdr:col>
      <xdr:colOff>0</xdr:colOff>
      <xdr:row>26</xdr:row>
      <xdr:rowOff>0</xdr:rowOff>
    </xdr:from>
    <xdr:to>
      <xdr:col>9</xdr:col>
      <xdr:colOff>311150</xdr:colOff>
      <xdr:row>31</xdr:row>
      <xdr:rowOff>38100</xdr:rowOff>
    </xdr:to>
    <xdr:sp macro="" textlink="">
      <xdr:nvSpPr>
        <xdr:cNvPr id="4" name="TextBox 3">
          <a:extLst>
            <a:ext uri="{FF2B5EF4-FFF2-40B4-BE49-F238E27FC236}">
              <a16:creationId xmlns:a16="http://schemas.microsoft.com/office/drawing/2014/main" id="{819EB2C6-DA0D-4C44-B57E-D2227C947098}"/>
            </a:ext>
          </a:extLst>
        </xdr:cNvPr>
        <xdr:cNvSpPr txBox="1"/>
      </xdr:nvSpPr>
      <xdr:spPr>
        <a:xfrm>
          <a:off x="342900" y="5324475"/>
          <a:ext cx="10588625" cy="10477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solidFill>
                <a:schemeClr val="dk1"/>
              </a:solidFill>
              <a:effectLst/>
              <a:latin typeface="Gill Sans MT" panose="020B0502020104020203" pitchFamily="34" charset="0"/>
              <a:ea typeface="+mn-ea"/>
              <a:cs typeface="+mn-cs"/>
            </a:rPr>
            <a:t>The "intensity"</a:t>
          </a:r>
          <a:r>
            <a:rPr lang="en-US" sz="1100" baseline="0">
              <a:solidFill>
                <a:schemeClr val="dk1"/>
              </a:solidFill>
              <a:effectLst/>
              <a:latin typeface="Gill Sans MT" panose="020B0502020104020203" pitchFamily="34" charset="0"/>
              <a:ea typeface="+mn-ea"/>
              <a:cs typeface="+mn-cs"/>
            </a:rPr>
            <a:t> of an SBC intervention is an important factor in the estimated SBC unit cost and it factors in multiple dimensions, including how much time and effort went into the design and development of the intervention prior to implementation, how long the intervention was implemented for and how frequently an individual is exposed to or participates in the intervention. Due to the many dimensions of intensity, classifying the intensity of a specific intervention is subjective and based on one's understanding of what is a </a:t>
          </a:r>
          <a:r>
            <a:rPr lang="en-US" sz="1100" i="0" baseline="0">
              <a:solidFill>
                <a:schemeClr val="dk1"/>
              </a:solidFill>
              <a:effectLst/>
              <a:latin typeface="Gill Sans MT" panose="020B0502020104020203" pitchFamily="34" charset="0"/>
              <a:ea typeface="+mn-ea"/>
              <a:cs typeface="+mn-cs"/>
            </a:rPr>
            <a:t>typical, or </a:t>
          </a:r>
          <a:r>
            <a:rPr lang="en-US" sz="1100" i="1" baseline="0">
              <a:solidFill>
                <a:schemeClr val="dk1"/>
              </a:solidFill>
              <a:effectLst/>
              <a:latin typeface="Gill Sans MT" panose="020B0502020104020203" pitchFamily="34" charset="0"/>
              <a:ea typeface="+mn-ea"/>
              <a:cs typeface="+mn-cs"/>
            </a:rPr>
            <a:t>average</a:t>
          </a:r>
          <a:r>
            <a:rPr lang="en-US" sz="1100" i="0" baseline="0">
              <a:solidFill>
                <a:schemeClr val="dk1"/>
              </a:solidFill>
              <a:effectLst/>
              <a:latin typeface="Gill Sans MT" panose="020B0502020104020203" pitchFamily="34" charset="0"/>
              <a:ea typeface="+mn-ea"/>
              <a:cs typeface="+mn-cs"/>
            </a:rPr>
            <a:t>,</a:t>
          </a:r>
          <a:r>
            <a:rPr lang="en-US" sz="1100" baseline="0">
              <a:solidFill>
                <a:schemeClr val="dk1"/>
              </a:solidFill>
              <a:effectLst/>
              <a:latin typeface="Gill Sans MT" panose="020B0502020104020203" pitchFamily="34" charset="0"/>
              <a:ea typeface="+mn-ea"/>
              <a:cs typeface="+mn-cs"/>
            </a:rPr>
            <a:t> SBC intervention and what qualifies to be designated as deviating from the average. For example, an intervention may be highly intensive on some dimensions and average or even low in others. As such, we recommend reviewing the dimensions and examples provided in the table below and selecting the intensity based on the users best judgement. </a:t>
          </a:r>
        </a:p>
        <a:p>
          <a:endParaRPr lang="en-US" sz="1200" baseline="0">
            <a:latin typeface="Gill Sans MT" panose="020B0502020104020203" pitchFamily="34" charset="0"/>
          </a:endParaRPr>
        </a:p>
      </xdr:txBody>
    </xdr:sp>
    <xdr:clientData/>
  </xdr:twoCellAnchor>
  <xdr:twoCellAnchor>
    <xdr:from>
      <xdr:col>1</xdr:col>
      <xdr:colOff>25400</xdr:colOff>
      <xdr:row>46</xdr:row>
      <xdr:rowOff>76200</xdr:rowOff>
    </xdr:from>
    <xdr:to>
      <xdr:col>9</xdr:col>
      <xdr:colOff>190500</xdr:colOff>
      <xdr:row>60</xdr:row>
      <xdr:rowOff>158750</xdr:rowOff>
    </xdr:to>
    <xdr:sp macro="" textlink="">
      <xdr:nvSpPr>
        <xdr:cNvPr id="5" name="TextBox 4">
          <a:extLst>
            <a:ext uri="{FF2B5EF4-FFF2-40B4-BE49-F238E27FC236}">
              <a16:creationId xmlns:a16="http://schemas.microsoft.com/office/drawing/2014/main" id="{497819FE-31EC-42CE-BFAA-54ED16387257}"/>
            </a:ext>
          </a:extLst>
        </xdr:cNvPr>
        <xdr:cNvSpPr txBox="1"/>
      </xdr:nvSpPr>
      <xdr:spPr>
        <a:xfrm>
          <a:off x="368300" y="10925175"/>
          <a:ext cx="10442575" cy="2806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1" u="none">
              <a:latin typeface="Gill Sans MT" panose="020B0502020104020203" pitchFamily="34" charset="0"/>
            </a:rPr>
            <a:t>FP/RH</a:t>
          </a:r>
          <a:r>
            <a:rPr lang="en-US" sz="1100">
              <a:latin typeface="Gill Sans MT" panose="020B0502020104020203" pitchFamily="34" charset="0"/>
            </a:rPr>
            <a:t>- family planning and</a:t>
          </a:r>
          <a:r>
            <a:rPr lang="en-US" sz="1100" baseline="0">
              <a:latin typeface="Gill Sans MT" panose="020B0502020104020203" pitchFamily="34" charset="0"/>
            </a:rPr>
            <a:t> reproductive health interventions that focus on the intermediate determinants of FP/RH behaviors, including modern contraceptive use, birth spacing, delaying first births, and preventing sexually transmitted infections other than HIV.</a:t>
          </a:r>
        </a:p>
        <a:p>
          <a:endParaRPr lang="en-US" sz="1100" baseline="0">
            <a:latin typeface="Gill Sans MT" panose="020B0502020104020203" pitchFamily="34" charset="0"/>
          </a:endParaRPr>
        </a:p>
        <a:p>
          <a:r>
            <a:rPr lang="en-US" sz="1100" b="1" baseline="0">
              <a:latin typeface="Gill Sans MT" panose="020B0502020104020203" pitchFamily="34" charset="0"/>
            </a:rPr>
            <a:t>HIV </a:t>
          </a:r>
          <a:r>
            <a:rPr lang="en-US" sz="1100" baseline="0">
              <a:latin typeface="Gill Sans MT" panose="020B0502020104020203" pitchFamily="34" charset="0"/>
            </a:rPr>
            <a:t>- including interventions that focus on the intermediate determinants of HIV prevention and treatment behaviors, including condom use, voluntary counseling and testing, ART treatment, voluntary medical male circumcision, and the use of pre-exposure prophylaxis and post-exposure prophylaxis.</a:t>
          </a:r>
        </a:p>
        <a:p>
          <a:endParaRPr lang="en-US" sz="1100" baseline="0">
            <a:latin typeface="Gill Sans MT" panose="020B0502020104020203" pitchFamily="34" charset="0"/>
          </a:endParaRPr>
        </a:p>
        <a:p>
          <a:r>
            <a:rPr lang="en-US" sz="1100" b="1" baseline="0">
              <a:latin typeface="Gill Sans MT" panose="020B0502020104020203" pitchFamily="34" charset="0"/>
            </a:rPr>
            <a:t>MNCH</a:t>
          </a:r>
          <a:r>
            <a:rPr lang="en-US" sz="1100" baseline="0">
              <a:latin typeface="Gill Sans MT" panose="020B0502020104020203" pitchFamily="34" charset="0"/>
            </a:rPr>
            <a:t>- maternal and child health plus nutrition interventions that focus on the intermediate determinants of MNCH behaviors, including antenatal care, skilled or facility-based deliveries, postnatal care, breastfeeding and complementary feeding, nutritional supplementation, and childnood vaccinations.</a:t>
          </a:r>
        </a:p>
        <a:p>
          <a:endParaRPr lang="en-US" sz="1100" baseline="0">
            <a:latin typeface="Gill Sans MT" panose="020B0502020104020203" pitchFamily="34" charset="0"/>
          </a:endParaRPr>
        </a:p>
        <a:p>
          <a:r>
            <a:rPr lang="en-US" sz="1100" b="1" baseline="0">
              <a:latin typeface="Gill Sans MT" panose="020B0502020104020203" pitchFamily="34" charset="0"/>
            </a:rPr>
            <a:t>Malaria</a:t>
          </a:r>
          <a:r>
            <a:rPr lang="en-US" sz="1100" baseline="0">
              <a:latin typeface="Gill Sans MT" panose="020B0502020104020203" pitchFamily="34" charset="0"/>
            </a:rPr>
            <a:t>- malaria interventions that focus on the intermediate determinants of malaria prevention and treatment, including intermittent preventive treatment of malaria for pregnant women, use of insecticide treated bednets, indoor residual spraying, fever care seeking and treatment adherence, seasonal malaria chemoprevention, and malaria vaccination.</a:t>
          </a:r>
        </a:p>
        <a:p>
          <a:r>
            <a:rPr lang="en-US" sz="1100" baseline="0">
              <a:latin typeface="Gill Sans MT" panose="020B0502020104020203" pitchFamily="34" charset="0"/>
            </a:rPr>
            <a:t> </a:t>
          </a:r>
        </a:p>
        <a:p>
          <a:r>
            <a:rPr lang="en-US" sz="1100" b="1" baseline="0">
              <a:latin typeface="Gill Sans MT" panose="020B0502020104020203" pitchFamily="34" charset="0"/>
            </a:rPr>
            <a:t>Other </a:t>
          </a:r>
          <a:r>
            <a:rPr lang="en-US" sz="1100" baseline="0">
              <a:latin typeface="Gill Sans MT" panose="020B0502020104020203" pitchFamily="34" charset="0"/>
            </a:rPr>
            <a:t>- includes SBC interventions that focus on the intermediate determinants of other health behaviors, including adult vaccinations, prevention/treatment for neglected tropical diseases, </a:t>
          </a:r>
          <a:r>
            <a:rPr lang="en-US" sz="1100" baseline="0">
              <a:solidFill>
                <a:schemeClr val="dk1"/>
              </a:solidFill>
              <a:effectLst/>
              <a:latin typeface="+mn-lt"/>
              <a:ea typeface="+mn-ea"/>
              <a:cs typeface="+mn-cs"/>
            </a:rPr>
            <a:t>chronic illness testing and treatment seeking, and others. Also included in this category are SBC interventions that are integrated across health areas. </a:t>
          </a:r>
          <a:endParaRPr lang="en-US" sz="1100" baseline="0">
            <a:latin typeface="Gill Sans MT" panose="020B0502020104020203" pitchFamily="34" charset="0"/>
          </a:endParaRPr>
        </a:p>
        <a:p>
          <a:endParaRPr lang="en-US" sz="1200" baseline="0">
            <a:latin typeface="Gill Sans MT" panose="020B0502020104020203" pitchFamily="34" charset="0"/>
          </a:endParaRPr>
        </a:p>
      </xdr:txBody>
    </xdr:sp>
    <xdr:clientData/>
  </xdr:twoCellAnchor>
  <xdr:twoCellAnchor>
    <xdr:from>
      <xdr:col>0</xdr:col>
      <xdr:colOff>323850</xdr:colOff>
      <xdr:row>63</xdr:row>
      <xdr:rowOff>44450</xdr:rowOff>
    </xdr:from>
    <xdr:to>
      <xdr:col>9</xdr:col>
      <xdr:colOff>133350</xdr:colOff>
      <xdr:row>73</xdr:row>
      <xdr:rowOff>69850</xdr:rowOff>
    </xdr:to>
    <xdr:sp macro="" textlink="">
      <xdr:nvSpPr>
        <xdr:cNvPr id="6" name="TextBox 5">
          <a:extLst>
            <a:ext uri="{FF2B5EF4-FFF2-40B4-BE49-F238E27FC236}">
              <a16:creationId xmlns:a16="http://schemas.microsoft.com/office/drawing/2014/main" id="{96484510-4699-468B-853F-215CBAA08433}"/>
            </a:ext>
          </a:extLst>
        </xdr:cNvPr>
        <xdr:cNvSpPr txBox="1"/>
      </xdr:nvSpPr>
      <xdr:spPr>
        <a:xfrm>
          <a:off x="323850" y="14274800"/>
          <a:ext cx="10429875" cy="19875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0" u="none">
              <a:latin typeface="Gill Sans MT" panose="020B0502020104020203" pitchFamily="34" charset="0"/>
            </a:rPr>
            <a:t>The </a:t>
          </a:r>
          <a:r>
            <a:rPr lang="en-US" sz="1200" b="1" u="none">
              <a:latin typeface="Gill Sans MT" panose="020B0502020104020203" pitchFamily="34" charset="0"/>
            </a:rPr>
            <a:t>ownership</a:t>
          </a:r>
          <a:r>
            <a:rPr lang="en-US" sz="1200" b="0" u="none" baseline="0">
              <a:latin typeface="Gill Sans MT" panose="020B0502020104020203" pitchFamily="34" charset="0"/>
            </a:rPr>
            <a:t> of the SBC intervention refers to the sector or organization that is implementing the intervention. Due to data restrictions, these have been classified into only three categories.</a:t>
          </a:r>
        </a:p>
        <a:p>
          <a:endParaRPr lang="en-US" sz="1200" b="0" u="none" baseline="0">
            <a:latin typeface="Gill Sans MT" panose="020B0502020104020203" pitchFamily="34" charset="0"/>
          </a:endParaRPr>
        </a:p>
        <a:p>
          <a:r>
            <a:rPr lang="en-US" sz="1200" b="1" u="none" baseline="0">
              <a:latin typeface="Gill Sans MT" panose="020B0502020104020203" pitchFamily="34" charset="0"/>
            </a:rPr>
            <a:t>NGO - </a:t>
          </a:r>
          <a:r>
            <a:rPr lang="en-US" sz="1200" b="0" u="none" baseline="0">
              <a:latin typeface="Gill Sans MT" panose="020B0502020104020203" pitchFamily="34" charset="0"/>
            </a:rPr>
            <a:t>meaning non-governmental organization or non-profit entity. An NGO could be using either public or private donor funding to implement the intervention, however.</a:t>
          </a:r>
        </a:p>
        <a:p>
          <a:endParaRPr lang="en-US" sz="1200" b="0" u="none" baseline="0">
            <a:latin typeface="Gill Sans MT" panose="020B0502020104020203" pitchFamily="34" charset="0"/>
          </a:endParaRPr>
        </a:p>
        <a:p>
          <a:r>
            <a:rPr lang="en-US" sz="1200" b="1" u="none" baseline="0">
              <a:latin typeface="Gill Sans MT" panose="020B0502020104020203" pitchFamily="34" charset="0"/>
            </a:rPr>
            <a:t>Public - </a:t>
          </a:r>
          <a:r>
            <a:rPr lang="en-US" sz="1200" b="0" u="none" baseline="0">
              <a:latin typeface="Gill Sans MT" panose="020B0502020104020203" pitchFamily="34" charset="0"/>
            </a:rPr>
            <a:t>meaning the in-country government/governmental agency is implementing the intervention. </a:t>
          </a:r>
        </a:p>
        <a:p>
          <a:endParaRPr lang="en-US" sz="1200" b="0" u="none" baseline="0">
            <a:latin typeface="Gill Sans MT" panose="020B0502020104020203" pitchFamily="34" charset="0"/>
          </a:endParaRPr>
        </a:p>
        <a:p>
          <a:r>
            <a:rPr lang="en-US" sz="1200" b="1" u="none" baseline="0">
              <a:latin typeface="Gill Sans MT" panose="020B0502020104020203" pitchFamily="34" charset="0"/>
            </a:rPr>
            <a:t>Other - </a:t>
          </a:r>
          <a:r>
            <a:rPr lang="en-US" sz="1200" b="0" u="none" baseline="0">
              <a:latin typeface="Gill Sans MT" panose="020B0502020104020203" pitchFamily="34" charset="0"/>
            </a:rPr>
            <a:t>includes a private entity, a mix of different implementers (e.g., part public, part NGO), and includes observations where the ownership of the intervention was not specified in the costing study.</a:t>
          </a:r>
          <a:endParaRPr lang="en-US" sz="1100" b="1" baseline="0">
            <a:latin typeface="Gill Sans MT" panose="020B0502020104020203" pitchFamily="34" charset="0"/>
          </a:endParaRPr>
        </a:p>
        <a:p>
          <a:endParaRPr lang="en-US" sz="1200" baseline="0">
            <a:latin typeface="Gill Sans MT" panose="020B0502020104020203" pitchFamily="34" charset="0"/>
          </a:endParaRPr>
        </a:p>
      </xdr:txBody>
    </xdr:sp>
    <xdr:clientData/>
  </xdr:twoCellAnchor>
  <xdr:twoCellAnchor>
    <xdr:from>
      <xdr:col>0</xdr:col>
      <xdr:colOff>304800</xdr:colOff>
      <xdr:row>76</xdr:row>
      <xdr:rowOff>50800</xdr:rowOff>
    </xdr:from>
    <xdr:to>
      <xdr:col>9</xdr:col>
      <xdr:colOff>114300</xdr:colOff>
      <xdr:row>88</xdr:row>
      <xdr:rowOff>44450</xdr:rowOff>
    </xdr:to>
    <xdr:sp macro="" textlink="">
      <xdr:nvSpPr>
        <xdr:cNvPr id="7" name="TextBox 6">
          <a:extLst>
            <a:ext uri="{FF2B5EF4-FFF2-40B4-BE49-F238E27FC236}">
              <a16:creationId xmlns:a16="http://schemas.microsoft.com/office/drawing/2014/main" id="{969EA351-B2BB-42E8-9283-675B21D060A9}"/>
            </a:ext>
          </a:extLst>
        </xdr:cNvPr>
        <xdr:cNvSpPr txBox="1"/>
      </xdr:nvSpPr>
      <xdr:spPr>
        <a:xfrm>
          <a:off x="304800" y="16900525"/>
          <a:ext cx="10429875" cy="233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0" u="none">
              <a:latin typeface="Gill Sans MT" panose="020B0502020104020203" pitchFamily="34" charset="0"/>
            </a:rPr>
            <a:t>The </a:t>
          </a:r>
          <a:r>
            <a:rPr lang="en-US" sz="1200" b="1" u="none">
              <a:latin typeface="Gill Sans MT" panose="020B0502020104020203" pitchFamily="34" charset="0"/>
            </a:rPr>
            <a:t>scale </a:t>
          </a:r>
          <a:r>
            <a:rPr lang="en-US" sz="1200" b="0" u="none" baseline="0">
              <a:latin typeface="Gill Sans MT" panose="020B0502020104020203" pitchFamily="34" charset="0"/>
            </a:rPr>
            <a:t>of the SBC intervention refers to where it is being implemented within a country. </a:t>
          </a:r>
        </a:p>
        <a:p>
          <a:endParaRPr lang="en-US" sz="1200" b="0" u="none" baseline="0">
            <a:latin typeface="Gill Sans MT" panose="020B0502020104020203" pitchFamily="34" charset="0"/>
          </a:endParaRPr>
        </a:p>
        <a:p>
          <a:r>
            <a:rPr lang="en-US" sz="1200" b="1" u="none" baseline="0">
              <a:latin typeface="Gill Sans MT" panose="020B0502020104020203" pitchFamily="34" charset="0"/>
            </a:rPr>
            <a:t>National - </a:t>
          </a:r>
          <a:r>
            <a:rPr lang="en-US" sz="1200" b="0" u="none" baseline="0">
              <a:latin typeface="Gill Sans MT" panose="020B0502020104020203" pitchFamily="34" charset="0"/>
            </a:rPr>
            <a:t>meaning the intervention is being provided throughout the country. Mass media campaigns are often national, even if individuals in more remote regions are less likely to have access to radio and television.</a:t>
          </a:r>
        </a:p>
        <a:p>
          <a:endParaRPr lang="en-US" sz="1200" b="0" u="none" baseline="0">
            <a:latin typeface="Gill Sans MT" panose="020B0502020104020203" pitchFamily="34" charset="0"/>
          </a:endParaRPr>
        </a:p>
        <a:p>
          <a:r>
            <a:rPr lang="en-US" sz="1200" b="1" u="none" baseline="0">
              <a:latin typeface="Gill Sans MT" panose="020B0502020104020203" pitchFamily="34" charset="0"/>
            </a:rPr>
            <a:t>Regional - </a:t>
          </a:r>
          <a:r>
            <a:rPr lang="en-US" sz="1200" b="0" u="none" baseline="0">
              <a:latin typeface="Gill Sans MT" panose="020B0502020104020203" pitchFamily="34" charset="0"/>
            </a:rPr>
            <a:t>meaning the intervention is being provided in part of the country. This could mean in one province or district, but it should represent a decent size of the population. While there are no rules to specify the difference between regional or local, one would expect a regional approach would be implemented in an area of the country that contains at least 5-10% of the population, even if not all of those in the population are exposed to the intervention</a:t>
          </a:r>
        </a:p>
        <a:p>
          <a:endParaRPr lang="en-US" sz="1200" b="0" u="none" baseline="0">
            <a:latin typeface="Gill Sans MT" panose="020B0502020104020203" pitchFamily="34" charset="0"/>
          </a:endParaRPr>
        </a:p>
        <a:p>
          <a:r>
            <a:rPr lang="en-US" sz="1200" b="1" u="none" baseline="0">
              <a:latin typeface="Gill Sans MT" panose="020B0502020104020203" pitchFamily="34" charset="0"/>
            </a:rPr>
            <a:t>Local - </a:t>
          </a:r>
          <a:r>
            <a:rPr lang="en-US" sz="1200" b="0" u="none" baseline="0">
              <a:latin typeface="Gill Sans MT" panose="020B0502020104020203" pitchFamily="34" charset="0"/>
            </a:rPr>
            <a:t>meaning the intervention is concentrated in a smaller locality, such as a town or village. A local designation would imply a rather limited geographic focus for the intervention.</a:t>
          </a:r>
          <a:endParaRPr lang="en-US" sz="1100" b="1" baseline="0">
            <a:latin typeface="Gill Sans MT" panose="020B0502020104020203" pitchFamily="34" charset="0"/>
          </a:endParaRPr>
        </a:p>
        <a:p>
          <a:endParaRPr lang="en-US" sz="1200" baseline="0">
            <a:latin typeface="Gill Sans MT" panose="020B0502020104020203" pitchFamily="34" charset="0"/>
          </a:endParaRPr>
        </a:p>
      </xdr:txBody>
    </xdr:sp>
    <xdr:clientData/>
  </xdr:twoCellAnchor>
</xdr:wsDr>
</file>

<file path=xl/persons/person.xml><?xml version="1.0" encoding="utf-8"?>
<personList xmlns="http://schemas.microsoft.com/office/spreadsheetml/2018/threadedcomments" xmlns:x="http://schemas.openxmlformats.org/spreadsheetml/2006/main">
  <person displayName="Rachael Linder" id="{DE6CCD65-9CAD-4837-B6D4-344396195868}" userId="S::RLinder@avenirhealth.org::9224b87e-e979-4da9-b6ea-31fc1baa8920"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Q4" dT="2022-02-17T12:32:40.02" personId="{DE6CCD65-9CAD-4837-B6D4-344396195868}" id="{7870CDDF-9C61-4208-98B9-1E6CF128188B}">
    <text>Total implementation 4 years, but since school intervention assuming individual is 9 months?</text>
  </threadedComment>
  <threadedComment ref="Q5" dT="2022-02-17T17:55:32.18" personId="{DE6CCD65-9CAD-4837-B6D4-344396195868}" id="{18B88D55-65F4-4A03-AFFD-93B238FF1898}">
    <text>There were two rounds, the first lasting 12 months and the second lasting 6 months.</text>
  </threadedComment>
  <threadedComment ref="Q7" dT="2022-02-18T15:11:22.23" personId="{DE6CCD65-9CAD-4837-B6D4-344396195868}" id="{B3C20B2C-A9C6-4C29-992D-F66B5ABCDF21}">
    <text>Students were interviewd over a period of 1 month, but are likely exposed to VPEs througout a school year, so 9 months?</text>
  </threadedComment>
  <threadedComment ref="Q18" dT="2022-02-17T12:24:20.77" personId="{DE6CCD65-9CAD-4837-B6D4-344396195868}" id="{EE3EF89F-F600-4FD1-B05F-B0A26C62A42C}">
    <text>Total implementation 3 years, but since school intervention assuming individual is 9 months?</text>
  </threadedComment>
  <threadedComment ref="Q19" dT="2022-02-17T13:23:55.98" personId="{DE6CCD65-9CAD-4837-B6D4-344396195868}" id="{212787A2-C27A-485B-A066-EBB2961A6565}">
    <text>Total implementation 4 years, no notes on length of individual exposure of participants</text>
  </threadedComment>
  <threadedComment ref="Q41" dT="2022-02-17T18:38:04.13" personId="{DE6CCD65-9CAD-4837-B6D4-344396195868}" id="{CC17CBB7-0842-4CCE-A8B7-A640B1CA59E4}">
    <text>Difficult to determine. Article is more of a financial review of Straight Talk activities.</text>
  </threadedComment>
  <threadedComment ref="Q45" dT="2022-02-17T12:32:40.02" personId="{DE6CCD65-9CAD-4837-B6D4-344396195868}" id="{3D2F31C4-9C76-458C-9DF6-E43C132404CE}">
    <text>Total implementation 4 years, no notes on length of individual exposure of participants</text>
  </threadedComment>
  <threadedComment ref="Q52" dT="2022-02-17T17:20:56.92" personId="{DE6CCD65-9CAD-4837-B6D4-344396195868}" id="{D7B2E8A4-76EB-42B7-87CE-B9CACCA566D0}">
    <text>Study lasted two years but each mother only received messages for their child's vaccine appointment, which last up until 1 year</text>
  </threadedComment>
  <threadedComment ref="Q59" dT="2022-02-17T17:55:32.18" personId="{DE6CCD65-9CAD-4837-B6D4-344396195868}" id="{11D80C00-A2D6-4F0B-8E13-266206F28896}">
    <text>There were two rounds, the first lasting 12 months and the second lasting 6 months.</text>
  </threadedComment>
  <threadedComment ref="Q60" dT="2022-02-17T18:21:19.85" personId="{DE6CCD65-9CAD-4837-B6D4-344396195868}" id="{3F4E202D-7CCD-4D54-A7A4-1D28254439A0}">
    <text>Pilot conducted from April 1998 - April 2001; replication in another area from July 2003 - July 2006.</text>
  </threadedComment>
  <threadedComment ref="Q61" dT="2022-02-17T13:23:55.98" personId="{DE6CCD65-9CAD-4837-B6D4-344396195868}" id="{3D2AC3CD-B776-4E46-AFC8-846B5C815FB7}">
    <text>Total implementation 4 years, no notes on length of individual exposure of participants</text>
  </threadedComment>
  <threadedComment ref="R65" dT="2022-02-22T19:37:50.29" personId="{DE6CCD65-9CAD-4837-B6D4-344396195868}" id="{A442BCE4-5B2B-4AA3-ADA6-D131F11E48BD}">
    <text>Brief description of each program is on pg. 6. Too much text to put here.</text>
  </threadedComment>
  <threadedComment ref="Q77" dT="2022-02-17T17:12:54.02" personId="{DE6CCD65-9CAD-4837-B6D4-344396195868}" id="{A4689125-3BA6-4944-AE7C-77A54A6459DC}">
    <text>Study lasted two years but each woman only received SMS and home visits for 4 ANC visits (which last up to 36 weeks).</text>
  </threadedComment>
  <threadedComment ref="R77" dT="2022-02-18T17:37:55.83" personId="{DE6CCD65-9CAD-4837-B6D4-344396195868}" id="{16FC893E-CC4B-4429-98AB-04C68920CFB6}">
    <text>I'm not sure this is group IPC?</text>
  </threadedComment>
  <threadedComment ref="Q93" dT="2022-02-17T18:16:03.32" personId="{DE6CCD65-9CAD-4837-B6D4-344396195868}" id="{6495B4B1-AFC0-452D-9D44-EB9026EB4115}">
    <text>Length of time not clear</text>
  </threadedComment>
  <threadedComment ref="R98" dT="2022-02-22T20:20:15.48" personId="{DE6CCD65-9CAD-4837-B6D4-344396195868}" id="{28AEF4D8-BDEA-4BB4-A0EE-21FE9D6E9AFB}">
    <text>Description taken from master spreadsheet. Very little detail provided in study,</text>
  </threadedComment>
  <threadedComment ref="Q103" dT="2022-02-17T12:14:44.41" personId="{DE6CCD65-9CAD-4837-B6D4-344396195868}" id="{43F0490E-6969-4DD5-ADBF-E721DC4C7A5B}">
    <text>USAID funded this project for 5 years, authors do not note how long each peer educator worker or individual interactions with clients.</text>
  </threadedComment>
  <threadedComment ref="Q104" dT="2022-02-17T12:14:44.41" personId="{DE6CCD65-9CAD-4837-B6D4-344396195868}" id="{C8B2D531-E0FE-4B91-B777-7D360582229D}">
    <text>USAID funded this project for 5 years, authors do not note how long each peer educator worker or individual interactions with clients.</text>
  </threadedComment>
  <threadedComment ref="Q109" dT="2022-02-17T12:14:44.41" personId="{DE6CCD65-9CAD-4837-B6D4-344396195868}" id="{9C30BB0F-A48E-41D7-91EC-EDDBD667764C}">
    <text>USAID funded this project for 5 years, authors do not note how long each peer educator worker or individual interactions with clients.</text>
  </threadedComment>
  <threadedComment ref="Q113" dT="2022-02-17T12:14:44.41" personId="{DE6CCD65-9CAD-4837-B6D4-344396195868}" id="{796E8811-00FC-46C3-B78E-350BB0188CAE}">
    <text>USAID funded this project for 5 years, authors do not note how long each peer educator worker or individual interactions with clients.</text>
  </threadedComment>
  <threadedComment ref="Q123" dT="2022-02-16T17:54:43.63" personId="{DE6CCD65-9CAD-4837-B6D4-344396195868}" id="{1C5CADFD-040C-46C5-BFB1-C8244461962C}">
    <text>Only abstract available and it noted that program ran from 1988-1989</text>
  </threadedComment>
  <threadedComment ref="R137" dT="2022-02-22T21:29:00.58" personId="{DE6CCD65-9CAD-4837-B6D4-344396195868}" id="{9D7175B7-1781-44F7-BD66-0C0DC3AF8484}">
    <text>Very limited description of intervention.</text>
  </threadedComment>
  <threadedComment ref="Q144" dT="2022-02-17T18:03:34.62" personId="{DE6CCD65-9CAD-4837-B6D4-344396195868}" id="{CC4851E3-392D-431B-8B2A-5FC9F675A0AE}">
    <text>Program lasted two years, individual participation length not noted.</text>
  </threadedComment>
  <threadedComment ref="Q152" dT="2022-02-17T17:44:37.22" personId="{DE6CCD65-9CAD-4837-B6D4-344396195868}" id="{1CB1D13B-C073-4D4F-A5A2-6CED63276259}">
    <text>Women were only contacted one time for a repeat pap</text>
  </threadedComment>
  <threadedComment ref="Q156" dT="2022-02-17T18:32:42.76" personId="{DE6CCD65-9CAD-4837-B6D4-344396195868}" id="{3989A256-74D4-4ED4-9ABC-7AB690528E71}">
    <text>An evaluation of three different programs with no information on duration of participants.</text>
  </threadedComment>
  <threadedComment ref="Q160" dT="2022-02-17T12:24:20.77" personId="{DE6CCD65-9CAD-4837-B6D4-344396195868}" id="{A2CE8064-4F64-4933-8729-726D41BA2F10}">
    <text>Total implementation 3 years, no notes on length of individual exposure of participants.</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6.bin"/><Relationship Id="rId4" Type="http://schemas.microsoft.com/office/2017/10/relationships/threadedComment" Target="../threadedComments/threadedComment1.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FDABC1-3474-4103-A00F-E0E322B1D9F4}">
  <sheetPr>
    <tabColor rgb="FF00B0F0"/>
  </sheetPr>
  <dimension ref="A1:B29"/>
  <sheetViews>
    <sheetView showGridLines="0" tabSelected="1" workbookViewId="0">
      <selection activeCell="A7" sqref="A7"/>
    </sheetView>
  </sheetViews>
  <sheetFormatPr defaultColWidth="0" defaultRowHeight="14.5" customHeight="1" zeroHeight="1" x14ac:dyDescent="0.35"/>
  <cols>
    <col min="1" max="1" width="156.1796875" customWidth="1"/>
    <col min="2" max="2" width="3.54296875" hidden="1" customWidth="1"/>
    <col min="3" max="16384" width="8.81640625" hidden="1"/>
  </cols>
  <sheetData>
    <row r="1" spans="1:1" s="48" customFormat="1" ht="29.5" x14ac:dyDescent="0.35">
      <c r="A1" s="47" t="s">
        <v>945</v>
      </c>
    </row>
    <row r="2" spans="1:1" s="49" customFormat="1" ht="105" customHeight="1" x14ac:dyDescent="0.55000000000000004">
      <c r="A2" s="139" t="s">
        <v>947</v>
      </c>
    </row>
    <row r="3" spans="1:1" s="50" customFormat="1" ht="100" customHeight="1" x14ac:dyDescent="0.35"/>
    <row r="4" spans="1:1" s="49" customFormat="1" ht="66" customHeight="1" x14ac:dyDescent="0.55000000000000004">
      <c r="A4" s="138" t="s">
        <v>942</v>
      </c>
    </row>
    <row r="5" spans="1:1" s="51" customFormat="1" ht="16.5" x14ac:dyDescent="0.5"/>
    <row r="6" spans="1:1" s="51" customFormat="1" ht="16.5" x14ac:dyDescent="0.5">
      <c r="A6" s="52" t="s">
        <v>963</v>
      </c>
    </row>
    <row r="7" spans="1:1" s="51" customFormat="1" ht="16.5" x14ac:dyDescent="0.5"/>
    <row r="8" spans="1:1" hidden="1" x14ac:dyDescent="0.35"/>
    <row r="9" spans="1:1" hidden="1" x14ac:dyDescent="0.35"/>
    <row r="10" spans="1:1" hidden="1" x14ac:dyDescent="0.35"/>
    <row r="11" spans="1:1" hidden="1" x14ac:dyDescent="0.35"/>
    <row r="12" spans="1:1" hidden="1" x14ac:dyDescent="0.35"/>
    <row r="13" spans="1:1" hidden="1" x14ac:dyDescent="0.35"/>
    <row r="14" spans="1:1" hidden="1" x14ac:dyDescent="0.35"/>
    <row r="15" spans="1:1" hidden="1" x14ac:dyDescent="0.35"/>
    <row r="16" spans="1:1" hidden="1" x14ac:dyDescent="0.35"/>
    <row r="17" customFormat="1" hidden="1" x14ac:dyDescent="0.35"/>
    <row r="18" customFormat="1" hidden="1" x14ac:dyDescent="0.35"/>
    <row r="19" customFormat="1" hidden="1" x14ac:dyDescent="0.35"/>
    <row r="20" customFormat="1" hidden="1" x14ac:dyDescent="0.35"/>
    <row r="21" customFormat="1" hidden="1" x14ac:dyDescent="0.35"/>
    <row r="22" customFormat="1" hidden="1" x14ac:dyDescent="0.35"/>
    <row r="23" customFormat="1" hidden="1" x14ac:dyDescent="0.35"/>
    <row r="24" customFormat="1" hidden="1" x14ac:dyDescent="0.35"/>
    <row r="25" customFormat="1" hidden="1" x14ac:dyDescent="0.35"/>
    <row r="26" customFormat="1" hidden="1" x14ac:dyDescent="0.35"/>
    <row r="27" customFormat="1" hidden="1" x14ac:dyDescent="0.35"/>
    <row r="28" customFormat="1" hidden="1" x14ac:dyDescent="0.35"/>
    <row r="29" customFormat="1" hidden="1" x14ac:dyDescent="0.35"/>
  </sheetData>
  <sheetProtection algorithmName="SHA-512" hashValue="1gYiekrkATfnPqIKVRuxVM9e+BM2fjbcJY/XBu7S2QmyI63lvxv8VeO6ndnDQsgpo0dQgQbIcIs9pialOkM2Rg==" saltValue="izZMG6Y3tOp+ZmnRdVJqTw==" spinCount="100000" sheet="1" objects="1" scenarios="1"/>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F9B81F-CB01-42BD-A04B-9465BFCBEBB8}">
  <sheetPr>
    <tabColor rgb="FF00B0F0"/>
  </sheetPr>
  <dimension ref="A1:Q96"/>
  <sheetViews>
    <sheetView showGridLines="0" workbookViewId="0">
      <selection activeCell="H10" sqref="H10"/>
    </sheetView>
  </sheetViews>
  <sheetFormatPr defaultRowHeight="14.5" x14ac:dyDescent="0.35"/>
  <cols>
    <col min="1" max="1" width="4.81640625" customWidth="1"/>
    <col min="11" max="11" width="10.90625" customWidth="1"/>
  </cols>
  <sheetData>
    <row r="1" spans="1:17" ht="40" customHeight="1" x14ac:dyDescent="0.35">
      <c r="A1" s="47" t="s">
        <v>946</v>
      </c>
      <c r="B1" s="47"/>
      <c r="C1" s="47"/>
      <c r="D1" s="47"/>
      <c r="E1" s="47"/>
      <c r="F1" s="47"/>
      <c r="G1" s="47"/>
      <c r="H1" s="47"/>
      <c r="I1" s="47"/>
      <c r="J1" s="47"/>
      <c r="K1" s="47"/>
      <c r="L1" s="47"/>
      <c r="M1" s="47"/>
      <c r="N1" s="47"/>
      <c r="O1" s="47"/>
      <c r="P1" s="47"/>
      <c r="Q1" s="47"/>
    </row>
    <row r="2" spans="1:17" ht="25" customHeight="1" x14ac:dyDescent="0.45">
      <c r="A2" s="53"/>
      <c r="B2" s="31"/>
    </row>
    <row r="4" spans="1:17" ht="15" customHeight="1" x14ac:dyDescent="0.5">
      <c r="A4" s="51"/>
      <c r="B4" s="31"/>
    </row>
    <row r="5" spans="1:17" ht="74" customHeight="1" x14ac:dyDescent="0.5">
      <c r="A5" s="51"/>
      <c r="B5" s="51"/>
    </row>
    <row r="6" spans="1:17" ht="15" customHeight="1" x14ac:dyDescent="0.55000000000000004">
      <c r="A6" s="51"/>
      <c r="B6" s="140" t="s">
        <v>888</v>
      </c>
    </row>
    <row r="7" spans="1:17" ht="5.15" customHeight="1" x14ac:dyDescent="0.55000000000000004">
      <c r="A7" s="51"/>
      <c r="B7" s="59"/>
    </row>
    <row r="8" spans="1:17" ht="15" customHeight="1" x14ac:dyDescent="0.5">
      <c r="A8" s="51"/>
      <c r="B8" s="51"/>
      <c r="C8" s="60"/>
      <c r="D8" s="141" t="s">
        <v>943</v>
      </c>
    </row>
    <row r="9" spans="1:17" ht="15" customHeight="1" x14ac:dyDescent="0.5">
      <c r="A9" s="51"/>
      <c r="B9" s="51"/>
      <c r="C9" s="61"/>
      <c r="D9" s="141" t="s">
        <v>944</v>
      </c>
    </row>
    <row r="10" spans="1:17" ht="15" customHeight="1" x14ac:dyDescent="0.5">
      <c r="A10" s="51"/>
      <c r="B10" s="51"/>
    </row>
    <row r="11" spans="1:17" ht="15" customHeight="1" x14ac:dyDescent="0.55000000000000004">
      <c r="A11" s="53"/>
      <c r="B11" s="69" t="s">
        <v>893</v>
      </c>
    </row>
    <row r="12" spans="1:17" ht="15" customHeight="1" x14ac:dyDescent="0.35">
      <c r="C12" s="54"/>
      <c r="D12" s="55"/>
    </row>
    <row r="13" spans="1:17" ht="15" customHeight="1" x14ac:dyDescent="0.35">
      <c r="C13" s="54"/>
      <c r="D13" s="55"/>
      <c r="H13" s="62"/>
    </row>
    <row r="14" spans="1:17" ht="15" customHeight="1" x14ac:dyDescent="0.35">
      <c r="C14" s="54"/>
      <c r="D14" s="55"/>
      <c r="H14" s="62"/>
    </row>
    <row r="15" spans="1:17" ht="15" customHeight="1" x14ac:dyDescent="0.35">
      <c r="C15" s="56"/>
      <c r="D15" s="57"/>
      <c r="H15" s="62"/>
    </row>
    <row r="16" spans="1:17" ht="15" customHeight="1" x14ac:dyDescent="0.35">
      <c r="C16" s="58"/>
      <c r="D16" s="55"/>
      <c r="H16" s="62"/>
    </row>
    <row r="17" spans="2:15" ht="15" customHeight="1" x14ac:dyDescent="0.35">
      <c r="C17" s="56"/>
      <c r="D17" s="57"/>
      <c r="H17" s="62"/>
    </row>
    <row r="18" spans="2:15" ht="15" customHeight="1" x14ac:dyDescent="0.35">
      <c r="C18" s="56"/>
      <c r="D18" s="57"/>
    </row>
    <row r="19" spans="2:15" ht="15" customHeight="1" x14ac:dyDescent="0.35">
      <c r="C19" s="54"/>
      <c r="D19" s="55"/>
    </row>
    <row r="20" spans="2:15" ht="15" customHeight="1" x14ac:dyDescent="0.35"/>
    <row r="21" spans="2:15" ht="22.5" customHeight="1" x14ac:dyDescent="0.55000000000000004">
      <c r="B21" s="69" t="s">
        <v>894</v>
      </c>
    </row>
    <row r="22" spans="2:15" ht="15" customHeight="1" x14ac:dyDescent="0.35"/>
    <row r="23" spans="2:15" ht="15" customHeight="1" x14ac:dyDescent="0.55000000000000004">
      <c r="J23" s="142" t="s">
        <v>941</v>
      </c>
      <c r="O23" s="142"/>
    </row>
    <row r="24" spans="2:15" ht="15" customHeight="1" x14ac:dyDescent="0.35"/>
    <row r="25" spans="2:15" ht="15" customHeight="1" x14ac:dyDescent="0.35"/>
    <row r="26" spans="2:15" ht="15" customHeight="1" x14ac:dyDescent="0.55000000000000004">
      <c r="O26" s="137"/>
    </row>
    <row r="27" spans="2:15" ht="15" customHeight="1" x14ac:dyDescent="0.35"/>
    <row r="28" spans="2:15" ht="15" customHeight="1" x14ac:dyDescent="0.35"/>
    <row r="29" spans="2:15" ht="15" customHeight="1" x14ac:dyDescent="0.55000000000000004">
      <c r="C29" s="142" t="s">
        <v>895</v>
      </c>
    </row>
    <row r="30" spans="2:15" ht="15" customHeight="1" x14ac:dyDescent="0.35"/>
    <row r="31" spans="2:15" ht="15" customHeight="1" x14ac:dyDescent="0.35"/>
    <row r="32" spans="2:15" ht="15" customHeight="1" x14ac:dyDescent="0.35"/>
    <row r="33" spans="2:3" ht="15" customHeight="1" x14ac:dyDescent="0.55000000000000004">
      <c r="C33" s="69"/>
    </row>
    <row r="34" spans="2:3" ht="15" customHeight="1" x14ac:dyDescent="0.55000000000000004">
      <c r="B34" s="69" t="s">
        <v>957</v>
      </c>
    </row>
    <row r="35" spans="2:3" ht="15" customHeight="1" x14ac:dyDescent="0.35"/>
    <row r="36" spans="2:3" ht="15" customHeight="1" x14ac:dyDescent="0.35"/>
    <row r="37" spans="2:3" ht="15" customHeight="1" x14ac:dyDescent="0.35"/>
    <row r="38" spans="2:3" ht="15" customHeight="1" x14ac:dyDescent="0.35"/>
    <row r="39" spans="2:3" ht="15" customHeight="1" x14ac:dyDescent="0.35"/>
    <row r="40" spans="2:3" ht="15" customHeight="1" x14ac:dyDescent="0.35"/>
    <row r="43" spans="2:3" ht="42" customHeight="1" x14ac:dyDescent="0.35"/>
    <row r="44" spans="2:3" ht="18.5" x14ac:dyDescent="0.55000000000000004">
      <c r="B44" s="69" t="s">
        <v>896</v>
      </c>
      <c r="C44" s="69"/>
    </row>
    <row r="66" spans="2:12" ht="18.5" x14ac:dyDescent="0.55000000000000004">
      <c r="B66" s="69" t="s">
        <v>940</v>
      </c>
    </row>
    <row r="69" spans="2:12" x14ac:dyDescent="0.35">
      <c r="L69" s="170" t="s">
        <v>959</v>
      </c>
    </row>
    <row r="72" spans="2:12" x14ac:dyDescent="0.35">
      <c r="L72" s="171" t="s">
        <v>960</v>
      </c>
    </row>
    <row r="78" spans="2:12" x14ac:dyDescent="0.35">
      <c r="C78" s="170" t="s">
        <v>961</v>
      </c>
    </row>
    <row r="96" spans="3:3" x14ac:dyDescent="0.35">
      <c r="C96" s="171" t="s">
        <v>962</v>
      </c>
    </row>
  </sheetData>
  <sheetProtection algorithmName="SHA-512" hashValue="ii33wol6LFe4zFJaz21vh0UT9C4ShJUG4Gp4F5ZBYvuwXj4UPCqiqKDdSwPYTmKBctDOcKw0KWdRNGDaSdGMfQ==" saltValue="i09npKSYVOaF+vKokioItw==" spinCount="100000" sheet="1" objects="1" scenarios="1"/>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9338B2-86E4-44DE-B494-60425E241453}">
  <sheetPr>
    <tabColor rgb="FF92D050"/>
  </sheetPr>
  <dimension ref="A1:AK148"/>
  <sheetViews>
    <sheetView showGridLines="0" topLeftCell="A4" zoomScaleNormal="100" workbookViewId="0">
      <selection activeCell="B10" sqref="B10"/>
    </sheetView>
  </sheetViews>
  <sheetFormatPr defaultColWidth="8.7265625" defaultRowHeight="16.5" x14ac:dyDescent="0.5"/>
  <cols>
    <col min="1" max="1" width="51.7265625" style="124" customWidth="1"/>
    <col min="2" max="2" width="24" style="51" customWidth="1"/>
    <col min="3" max="3" width="7.54296875" style="51" customWidth="1"/>
    <col min="4" max="4" width="11.1796875" style="51" customWidth="1"/>
    <col min="5" max="5" width="15.7265625" style="51" hidden="1" customWidth="1"/>
    <col min="6" max="6" width="12.26953125" style="127" hidden="1" customWidth="1"/>
    <col min="7" max="28" width="8.54296875" style="64" hidden="1" customWidth="1"/>
    <col min="29" max="31" width="8.7265625" style="51" hidden="1" customWidth="1"/>
    <col min="32" max="32" width="22.453125" style="51" customWidth="1"/>
    <col min="33" max="33" width="26.81640625" style="51" customWidth="1"/>
    <col min="34" max="37" width="15.54296875" style="51" customWidth="1"/>
    <col min="38" max="16384" width="8.7265625" style="51"/>
  </cols>
  <sheetData>
    <row r="1" spans="1:37" ht="21" x14ac:dyDescent="0.6">
      <c r="A1" s="63" t="s">
        <v>950</v>
      </c>
      <c r="F1" s="51"/>
    </row>
    <row r="2" spans="1:37" ht="21" x14ac:dyDescent="0.6">
      <c r="A2" s="63"/>
      <c r="F2" s="51"/>
      <c r="AG2" s="65" t="s">
        <v>883</v>
      </c>
      <c r="AI2" s="66" t="s">
        <v>884</v>
      </c>
    </row>
    <row r="3" spans="1:37" x14ac:dyDescent="0.5">
      <c r="A3" s="67"/>
      <c r="F3" s="51"/>
      <c r="AG3" s="68" t="s">
        <v>874</v>
      </c>
      <c r="AH3" s="147">
        <v>100000</v>
      </c>
      <c r="AI3" s="68" t="s">
        <v>879</v>
      </c>
      <c r="AJ3" s="148">
        <v>0</v>
      </c>
    </row>
    <row r="4" spans="1:37" ht="18.5" x14ac:dyDescent="0.55000000000000004">
      <c r="A4" s="69" t="s">
        <v>892</v>
      </c>
      <c r="B4" s="59"/>
      <c r="C4" s="70"/>
      <c r="D4" s="70"/>
      <c r="E4" s="70"/>
      <c r="F4" s="70"/>
      <c r="AG4" s="71" t="s">
        <v>868</v>
      </c>
      <c r="AH4" s="72">
        <f>ROUND(B23*(1+AJ3),2)</f>
        <v>0.88</v>
      </c>
      <c r="AJ4" s="73"/>
    </row>
    <row r="5" spans="1:37" ht="17" thickBot="1" x14ac:dyDescent="0.55000000000000004">
      <c r="A5" s="74" t="s">
        <v>6</v>
      </c>
      <c r="B5" s="146" t="s">
        <v>794</v>
      </c>
      <c r="C5" s="128"/>
      <c r="E5" s="75">
        <f>LN(_xlfn.XLOOKUP($B$5,'country list'!$A$2:$A$140,'country list'!$D$2:$D$140))</f>
        <v>7.4205789054108005</v>
      </c>
      <c r="F5" s="76" t="s">
        <v>816</v>
      </c>
      <c r="K5" s="64" t="s">
        <v>815</v>
      </c>
      <c r="N5" s="64" t="s">
        <v>296</v>
      </c>
      <c r="T5" s="64" t="s">
        <v>820</v>
      </c>
      <c r="Y5" s="64" t="s">
        <v>842</v>
      </c>
      <c r="AA5" s="64" t="s">
        <v>295</v>
      </c>
      <c r="AD5" s="64" t="s">
        <v>873</v>
      </c>
      <c r="AG5" s="71" t="s">
        <v>876</v>
      </c>
      <c r="AH5" s="77">
        <f>ROUND(B21*(1+AJ3),2)</f>
        <v>0.66</v>
      </c>
    </row>
    <row r="6" spans="1:37" x14ac:dyDescent="0.5">
      <c r="A6" s="74" t="s">
        <v>846</v>
      </c>
      <c r="B6" s="146" t="s">
        <v>573</v>
      </c>
      <c r="C6" s="131" t="s">
        <v>885</v>
      </c>
      <c r="D6" s="73"/>
      <c r="E6" s="75">
        <f>_xlfn.XLOOKUP(B6,G7:G16,H7:H16)</f>
        <v>0.92586123077810556</v>
      </c>
      <c r="F6" s="76" t="s">
        <v>848</v>
      </c>
      <c r="G6" s="64" t="s">
        <v>160</v>
      </c>
      <c r="H6" s="64" t="s">
        <v>848</v>
      </c>
      <c r="I6" s="78" t="s">
        <v>552</v>
      </c>
      <c r="J6" s="79" t="s">
        <v>821</v>
      </c>
      <c r="K6" s="80" t="s">
        <v>553</v>
      </c>
      <c r="L6" s="64" t="s">
        <v>160</v>
      </c>
      <c r="M6" s="78" t="s">
        <v>171</v>
      </c>
      <c r="N6" s="79" t="s">
        <v>28</v>
      </c>
      <c r="O6" s="79" t="s">
        <v>47</v>
      </c>
      <c r="P6" s="79" t="s">
        <v>187</v>
      </c>
      <c r="Q6" s="80" t="s">
        <v>42</v>
      </c>
      <c r="R6" s="64" t="s">
        <v>160</v>
      </c>
      <c r="S6" s="78" t="s">
        <v>826</v>
      </c>
      <c r="T6" s="79" t="s">
        <v>32</v>
      </c>
      <c r="U6" s="79" t="s">
        <v>114</v>
      </c>
      <c r="V6" s="80" t="s">
        <v>42</v>
      </c>
      <c r="W6" s="81" t="s">
        <v>160</v>
      </c>
      <c r="X6" s="82" t="s">
        <v>38</v>
      </c>
      <c r="Y6" s="82" t="s">
        <v>44</v>
      </c>
      <c r="Z6" s="83" t="s">
        <v>42</v>
      </c>
      <c r="AB6" s="64" t="s">
        <v>160</v>
      </c>
      <c r="AC6" s="81" t="s">
        <v>859</v>
      </c>
      <c r="AD6" s="82" t="s">
        <v>33</v>
      </c>
      <c r="AE6" s="83" t="s">
        <v>137</v>
      </c>
      <c r="AG6" s="71" t="s">
        <v>877</v>
      </c>
      <c r="AH6" s="77">
        <f>ROUND(B25*(1+AJ3),2)</f>
        <v>1.24</v>
      </c>
      <c r="AK6" s="145"/>
    </row>
    <row r="7" spans="1:37" x14ac:dyDescent="0.5">
      <c r="A7" s="74" t="s">
        <v>822</v>
      </c>
      <c r="B7" s="146" t="s">
        <v>821</v>
      </c>
      <c r="C7" s="131" t="s">
        <v>886</v>
      </c>
      <c r="D7" s="73"/>
      <c r="E7" s="84" cm="1">
        <f t="array" ref="E7">_xlfn.XLOOKUP($B$6,$G$7:$G$16,_xlfn.XLOOKUP($B$7,$I$6:$K$6,$I$7:$K$16))</f>
        <v>-9.7226715366553335E-3</v>
      </c>
      <c r="F7" s="76" t="s">
        <v>850</v>
      </c>
      <c r="G7" s="85" t="s">
        <v>16</v>
      </c>
      <c r="H7" s="86">
        <v>0.27811000000000002</v>
      </c>
      <c r="I7" s="87">
        <v>-0.14812431515783983</v>
      </c>
      <c r="J7" s="88">
        <v>-9.7226715366553335E-3</v>
      </c>
      <c r="K7" s="89">
        <v>0.22824849986955392</v>
      </c>
      <c r="L7" s="85" t="s">
        <v>16</v>
      </c>
      <c r="M7" s="87">
        <v>-2.3266266631881038E-2</v>
      </c>
      <c r="N7" s="88">
        <v>3.498784242108012E-2</v>
      </c>
      <c r="O7" s="88">
        <v>3.3843986433602937E-3</v>
      </c>
      <c r="P7" s="88">
        <v>-2.1497417166710154E-2</v>
      </c>
      <c r="Q7" s="89">
        <v>-2.1497417166710154E-2</v>
      </c>
      <c r="R7" s="85" t="s">
        <v>16</v>
      </c>
      <c r="S7" s="87">
        <v>9.4895303939473041E-2</v>
      </c>
      <c r="T7" s="88">
        <v>-4.7576937124967397E-2</v>
      </c>
      <c r="U7" s="88">
        <v>-3.319102530654839E-2</v>
      </c>
      <c r="V7" s="89">
        <v>-3.319102530654839E-2</v>
      </c>
      <c r="W7" s="90" t="s">
        <v>16</v>
      </c>
      <c r="X7" s="91">
        <v>3.2828280720062594E-2</v>
      </c>
      <c r="Y7" s="91">
        <v>-3.9625150013044563E-2</v>
      </c>
      <c r="Z7" s="92">
        <v>1.3733263762066256E-2</v>
      </c>
      <c r="AA7" s="64">
        <v>0</v>
      </c>
      <c r="AB7" s="85" t="s">
        <v>16</v>
      </c>
      <c r="AC7" s="93">
        <v>0</v>
      </c>
      <c r="AD7" s="91">
        <v>0</v>
      </c>
      <c r="AE7" s="92">
        <v>0</v>
      </c>
      <c r="AK7" s="94"/>
    </row>
    <row r="8" spans="1:37" x14ac:dyDescent="0.5">
      <c r="A8" s="74" t="s">
        <v>823</v>
      </c>
      <c r="B8" s="146" t="s">
        <v>28</v>
      </c>
      <c r="C8" s="131" t="s">
        <v>889</v>
      </c>
      <c r="E8" s="84" cm="1">
        <f t="array" ref="E8">_xlfn.XLOOKUP($B$6,$L$7:$L$16,_xlfn.XLOOKUP($B$8,$M$6:$Q$6,$M$7:$Q$16))</f>
        <v>3.498784242108012E-2</v>
      </c>
      <c r="F8" s="76" t="s">
        <v>851</v>
      </c>
      <c r="G8" s="85" t="s">
        <v>57</v>
      </c>
      <c r="H8" s="86">
        <v>0.1173</v>
      </c>
      <c r="I8" s="87">
        <v>-0.14812431515783983</v>
      </c>
      <c r="J8" s="88">
        <v>-9.7226715366553335E-3</v>
      </c>
      <c r="K8" s="89">
        <v>0.22824849986955392</v>
      </c>
      <c r="L8" s="85" t="s">
        <v>57</v>
      </c>
      <c r="M8" s="87">
        <v>-2.3266266631881038E-2</v>
      </c>
      <c r="N8" s="88">
        <v>3.498784242108012E-2</v>
      </c>
      <c r="O8" s="88">
        <v>3.3843986433602937E-3</v>
      </c>
      <c r="P8" s="88">
        <v>-2.1497417166710154E-2</v>
      </c>
      <c r="Q8" s="89">
        <v>-2.1497417166710154E-2</v>
      </c>
      <c r="R8" s="85" t="s">
        <v>57</v>
      </c>
      <c r="S8" s="87">
        <v>9.4895303939473041E-2</v>
      </c>
      <c r="T8" s="88">
        <v>-4.7576937124967397E-2</v>
      </c>
      <c r="U8" s="88">
        <v>-3.319102530654839E-2</v>
      </c>
      <c r="V8" s="89">
        <v>-3.319102530654839E-2</v>
      </c>
      <c r="W8" s="90" t="s">
        <v>57</v>
      </c>
      <c r="X8" s="91">
        <v>3.2828280720062594E-2</v>
      </c>
      <c r="Y8" s="91">
        <v>-3.9625150013044563E-2</v>
      </c>
      <c r="Z8" s="92">
        <v>1.3733263762066256E-2</v>
      </c>
      <c r="AA8" s="64">
        <v>0</v>
      </c>
      <c r="AB8" s="85" t="s">
        <v>57</v>
      </c>
      <c r="AC8" s="93">
        <v>0</v>
      </c>
      <c r="AD8" s="91">
        <v>0</v>
      </c>
      <c r="AE8" s="92">
        <v>0</v>
      </c>
      <c r="AG8" s="95" t="s">
        <v>160</v>
      </c>
      <c r="AH8" s="95" t="s">
        <v>864</v>
      </c>
      <c r="AI8" s="96" t="s">
        <v>875</v>
      </c>
      <c r="AJ8" s="96" t="s">
        <v>948</v>
      </c>
      <c r="AK8" s="96" t="s">
        <v>949</v>
      </c>
    </row>
    <row r="9" spans="1:37" x14ac:dyDescent="0.5">
      <c r="A9" s="74" t="s">
        <v>847</v>
      </c>
      <c r="B9" s="146" t="s">
        <v>44</v>
      </c>
      <c r="C9" s="131" t="s">
        <v>890</v>
      </c>
      <c r="E9" s="84" cm="1">
        <f t="array" ref="E9">_xlfn.XLOOKUP($B$6,$W7:$W16,_xlfn.XLOOKUP($B$9,$X$6:$Z$6,$X$7:$Z$16))</f>
        <v>-3.9625150013044563E-2</v>
      </c>
      <c r="F9" s="76" t="s">
        <v>852</v>
      </c>
      <c r="G9" s="85" t="s">
        <v>819</v>
      </c>
      <c r="H9" s="86">
        <v>0.26100000000000001</v>
      </c>
      <c r="I9" s="87">
        <v>-0.14812431515783983</v>
      </c>
      <c r="J9" s="88">
        <v>-9.7226715366553335E-3</v>
      </c>
      <c r="K9" s="89">
        <v>0.22824849986955392</v>
      </c>
      <c r="L9" s="85" t="s">
        <v>819</v>
      </c>
      <c r="M9" s="87">
        <v>-2.3266266631881038E-2</v>
      </c>
      <c r="N9" s="88">
        <v>3.498784242108012E-2</v>
      </c>
      <c r="O9" s="88">
        <v>3.3843986433602937E-3</v>
      </c>
      <c r="P9" s="88">
        <v>-2.1497417166710154E-2</v>
      </c>
      <c r="Q9" s="89">
        <v>-2.1497417166710154E-2</v>
      </c>
      <c r="R9" s="85" t="s">
        <v>819</v>
      </c>
      <c r="S9" s="87">
        <v>9.4895303939473041E-2</v>
      </c>
      <c r="T9" s="88">
        <v>-4.7576937124967397E-2</v>
      </c>
      <c r="U9" s="88">
        <v>-3.319102530654839E-2</v>
      </c>
      <c r="V9" s="89">
        <v>-3.319102530654839E-2</v>
      </c>
      <c r="W9" s="90" t="s">
        <v>819</v>
      </c>
      <c r="X9" s="91">
        <v>3.2828280720062594E-2</v>
      </c>
      <c r="Y9" s="91">
        <v>-3.9625150013044563E-2</v>
      </c>
      <c r="Z9" s="92">
        <v>1.3733263762066256E-2</v>
      </c>
      <c r="AA9" s="64">
        <v>0</v>
      </c>
      <c r="AB9" s="85" t="s">
        <v>819</v>
      </c>
      <c r="AC9" s="93">
        <v>0</v>
      </c>
      <c r="AD9" s="91">
        <v>0</v>
      </c>
      <c r="AE9" s="92">
        <v>0</v>
      </c>
      <c r="AF9" s="97"/>
      <c r="AG9" s="98" t="str">
        <f>B6</f>
        <v xml:space="preserve">SMS/phone </v>
      </c>
      <c r="AH9" s="99">
        <f>AH3</f>
        <v>100000</v>
      </c>
      <c r="AI9" s="100">
        <f>ROUND(AH3/AH4,0)</f>
        <v>113636</v>
      </c>
      <c r="AJ9" s="101">
        <f>ROUND(AH3/AH6,0)</f>
        <v>80645</v>
      </c>
      <c r="AK9" s="101">
        <f>ROUND(AH3/AH5,0)</f>
        <v>151515</v>
      </c>
    </row>
    <row r="10" spans="1:37" x14ac:dyDescent="0.5">
      <c r="A10" s="74" t="s">
        <v>860</v>
      </c>
      <c r="B10" s="146" t="s">
        <v>137</v>
      </c>
      <c r="C10" s="131" t="s">
        <v>891</v>
      </c>
      <c r="E10" s="84" cm="1">
        <f t="array" ref="E10">_xlfn.XLOOKUP($B$6,$AB7:$AB16,_xlfn.XLOOKUP($B$10,$AC$6:$AE$6,$AC$7:$AE$16))</f>
        <v>0</v>
      </c>
      <c r="F10" s="76" t="s">
        <v>861</v>
      </c>
      <c r="G10" s="85" t="s">
        <v>29</v>
      </c>
      <c r="H10" s="86">
        <v>0.37550651326437307</v>
      </c>
      <c r="I10" s="87">
        <v>-0.14812431515783983</v>
      </c>
      <c r="J10" s="88">
        <v>-9.7226715366553335E-3</v>
      </c>
      <c r="K10" s="89">
        <v>0.22824849986955392</v>
      </c>
      <c r="L10" s="85" t="s">
        <v>29</v>
      </c>
      <c r="M10" s="87">
        <v>-2.3266266631881038E-2</v>
      </c>
      <c r="N10" s="88">
        <v>3.498784242108012E-2</v>
      </c>
      <c r="O10" s="88">
        <v>3.3843986433602937E-3</v>
      </c>
      <c r="P10" s="88">
        <v>-2.1497417166710154E-2</v>
      </c>
      <c r="Q10" s="89">
        <v>-2.1497417166710154E-2</v>
      </c>
      <c r="R10" s="85" t="s">
        <v>29</v>
      </c>
      <c r="S10" s="87">
        <v>9.4895303939473041E-2</v>
      </c>
      <c r="T10" s="88">
        <v>-4.7576937124967397E-2</v>
      </c>
      <c r="U10" s="88">
        <v>-3.319102530654839E-2</v>
      </c>
      <c r="V10" s="89">
        <v>-3.319102530654839E-2</v>
      </c>
      <c r="W10" s="90" t="s">
        <v>29</v>
      </c>
      <c r="X10" s="91">
        <v>3.2828280720062594E-2</v>
      </c>
      <c r="Y10" s="91">
        <v>-3.9625150013044563E-2</v>
      </c>
      <c r="Z10" s="92">
        <v>1.3733263762066256E-2</v>
      </c>
      <c r="AA10" s="64">
        <v>0</v>
      </c>
      <c r="AB10" s="85" t="s">
        <v>29</v>
      </c>
      <c r="AC10" s="93">
        <v>0</v>
      </c>
      <c r="AD10" s="91">
        <v>0</v>
      </c>
      <c r="AE10" s="92">
        <v>0</v>
      </c>
      <c r="AG10" s="102"/>
      <c r="AH10" s="103"/>
      <c r="AI10" s="104"/>
    </row>
    <row r="11" spans="1:37" ht="18.5" x14ac:dyDescent="0.55000000000000004">
      <c r="A11" s="105"/>
      <c r="B11" s="106" t="str">
        <f>_xlfn.XLOOKUP(B5,'country list'!$A$2:$A$140,'country list'!$C$2:$C$140)</f>
        <v>Other</v>
      </c>
      <c r="E11" s="84" cm="1">
        <f t="array" ref="E11">_xlfn.XLOOKUP($B$6,$R$7:$R$16,_xlfn.XLOOKUP($B$11,$S$6:$V$6,$S$7:$V$16))</f>
        <v>-3.319102530654839E-2</v>
      </c>
      <c r="F11" s="76" t="s">
        <v>853</v>
      </c>
      <c r="G11" s="85" t="s">
        <v>200</v>
      </c>
      <c r="H11" s="86">
        <v>0.44373499999999999</v>
      </c>
      <c r="I11" s="87">
        <v>-0.14812431515783983</v>
      </c>
      <c r="J11" s="88">
        <v>-9.7226715366553335E-3</v>
      </c>
      <c r="K11" s="89">
        <v>0.22824849986955392</v>
      </c>
      <c r="L11" s="85" t="s">
        <v>200</v>
      </c>
      <c r="M11" s="87">
        <v>-2.3266266631881038E-2</v>
      </c>
      <c r="N11" s="88">
        <v>3.498784242108012E-2</v>
      </c>
      <c r="O11" s="88">
        <v>3.3843986433602937E-3</v>
      </c>
      <c r="P11" s="88">
        <v>-2.1497417166710154E-2</v>
      </c>
      <c r="Q11" s="89">
        <v>-2.1497417166710154E-2</v>
      </c>
      <c r="R11" s="85" t="s">
        <v>200</v>
      </c>
      <c r="S11" s="87">
        <v>9.4895303939473041E-2</v>
      </c>
      <c r="T11" s="88">
        <v>-4.7576937124967397E-2</v>
      </c>
      <c r="U11" s="88">
        <v>-3.319102530654839E-2</v>
      </c>
      <c r="V11" s="89">
        <v>-3.319102530654839E-2</v>
      </c>
      <c r="W11" s="90" t="s">
        <v>200</v>
      </c>
      <c r="X11" s="91">
        <v>3.2828280720062594E-2</v>
      </c>
      <c r="Y11" s="91">
        <v>-3.9625150013044563E-2</v>
      </c>
      <c r="Z11" s="92">
        <v>1.3733263762066256E-2</v>
      </c>
      <c r="AA11" s="64">
        <v>0</v>
      </c>
      <c r="AB11" s="85" t="s">
        <v>200</v>
      </c>
      <c r="AC11" s="93">
        <v>0</v>
      </c>
      <c r="AD11" s="91">
        <v>0</v>
      </c>
      <c r="AE11" s="92">
        <v>0</v>
      </c>
      <c r="AG11" s="107" t="s">
        <v>939</v>
      </c>
      <c r="AH11" s="103"/>
      <c r="AI11" s="104"/>
    </row>
    <row r="12" spans="1:37" ht="19" thickBot="1" x14ac:dyDescent="0.6">
      <c r="A12" s="69" t="s">
        <v>882</v>
      </c>
      <c r="B12" s="59"/>
      <c r="E12" s="84">
        <f>(_xlfn.XLOOKUP(B6,W7:W16,AA7:AA16))*((E5-7.52)/7.52)</f>
        <v>0</v>
      </c>
      <c r="F12" s="76" t="s">
        <v>849</v>
      </c>
      <c r="G12" s="85" t="s">
        <v>573</v>
      </c>
      <c r="H12" s="86">
        <v>0.92586123077810556</v>
      </c>
      <c r="I12" s="87">
        <v>-0.14812431515783983</v>
      </c>
      <c r="J12" s="88">
        <v>-9.7226715366553335E-3</v>
      </c>
      <c r="K12" s="89">
        <v>0.22824849986955392</v>
      </c>
      <c r="L12" s="85" t="s">
        <v>573</v>
      </c>
      <c r="M12" s="87">
        <v>-2.3266266631881038E-2</v>
      </c>
      <c r="N12" s="88">
        <v>3.498784242108012E-2</v>
      </c>
      <c r="O12" s="88">
        <v>3.3843986433602937E-3</v>
      </c>
      <c r="P12" s="88">
        <v>-2.1497417166710154E-2</v>
      </c>
      <c r="Q12" s="89">
        <v>-2.1497417166710154E-2</v>
      </c>
      <c r="R12" s="85" t="s">
        <v>573</v>
      </c>
      <c r="S12" s="87">
        <v>9.4895303939473041E-2</v>
      </c>
      <c r="T12" s="88">
        <v>-4.7576937124967397E-2</v>
      </c>
      <c r="U12" s="88">
        <v>-3.319102530654839E-2</v>
      </c>
      <c r="V12" s="89">
        <v>-3.319102530654839E-2</v>
      </c>
      <c r="W12" s="90" t="s">
        <v>573</v>
      </c>
      <c r="X12" s="91">
        <v>3.2828280720062594E-2</v>
      </c>
      <c r="Y12" s="91">
        <v>-3.9625150013044563E-2</v>
      </c>
      <c r="Z12" s="92">
        <v>1.3733263762066256E-2</v>
      </c>
      <c r="AA12" s="64">
        <v>0</v>
      </c>
      <c r="AB12" s="85" t="s">
        <v>573</v>
      </c>
      <c r="AC12" s="93">
        <v>0</v>
      </c>
      <c r="AD12" s="91">
        <v>0</v>
      </c>
      <c r="AE12" s="92">
        <v>0</v>
      </c>
      <c r="AG12" s="95" t="s">
        <v>160</v>
      </c>
      <c r="AH12" s="95" t="s">
        <v>864</v>
      </c>
      <c r="AI12" s="96" t="s">
        <v>875</v>
      </c>
      <c r="AJ12" s="96" t="s">
        <v>948</v>
      </c>
      <c r="AK12" s="96" t="s">
        <v>949</v>
      </c>
    </row>
    <row r="13" spans="1:37" x14ac:dyDescent="0.5">
      <c r="A13" s="74" t="s">
        <v>880</v>
      </c>
      <c r="B13" s="108">
        <f>$E$6+($E$6*$E$7)+($E$6*$E$8)+($E$6*$E$9)+ ($E$6*$E$10)+($E$6*$E$11)+($E$6*$E$12)</f>
        <v>0.88183559928702548</v>
      </c>
      <c r="C13" s="51" t="str">
        <f>_xlfn.XLOOKUP(B6,G19:G28,M19:M28)</f>
        <v>person exposed</v>
      </c>
      <c r="E13" s="64"/>
      <c r="F13" s="51"/>
      <c r="G13" s="85" t="s">
        <v>108</v>
      </c>
      <c r="H13" s="86">
        <v>6.4</v>
      </c>
      <c r="I13" s="87">
        <v>-0.23469999999999999</v>
      </c>
      <c r="J13" s="88">
        <v>2.6100000000000002E-2</v>
      </c>
      <c r="K13" s="89">
        <v>0.622</v>
      </c>
      <c r="L13" s="85" t="s">
        <v>108</v>
      </c>
      <c r="M13" s="87">
        <v>-4.82E-2</v>
      </c>
      <c r="N13" s="88">
        <v>4.3499999999999997E-2</v>
      </c>
      <c r="O13" s="88">
        <v>5.7999999999999996E-3</v>
      </c>
      <c r="P13" s="88">
        <v>1.5299999999999999E-2</v>
      </c>
      <c r="Q13" s="89">
        <v>1.5299999999999999E-2</v>
      </c>
      <c r="R13" s="85" t="s">
        <v>108</v>
      </c>
      <c r="S13" s="87">
        <v>0</v>
      </c>
      <c r="T13" s="88">
        <v>0</v>
      </c>
      <c r="U13" s="88">
        <v>0</v>
      </c>
      <c r="V13" s="89">
        <v>0</v>
      </c>
      <c r="W13" s="90" t="s">
        <v>108</v>
      </c>
      <c r="X13" s="91">
        <v>-5.5399999999999998E-2</v>
      </c>
      <c r="Y13" s="91">
        <v>2.5399999999999999E-2</v>
      </c>
      <c r="Z13" s="92">
        <v>4.7999999999999996E-3</v>
      </c>
      <c r="AA13" s="109">
        <v>4.0599999999999997E-2</v>
      </c>
      <c r="AB13" s="85" t="s">
        <v>108</v>
      </c>
      <c r="AC13" s="93">
        <v>-4.0000000000000002E-4</v>
      </c>
      <c r="AD13" s="91">
        <v>8.9999999999999998E-4</v>
      </c>
      <c r="AE13" s="92">
        <v>-5.0000000000000001E-3</v>
      </c>
      <c r="AG13" s="149"/>
      <c r="AH13" s="150"/>
      <c r="AI13" s="151"/>
      <c r="AJ13" s="152"/>
      <c r="AK13" s="153"/>
    </row>
    <row r="14" spans="1:37" ht="18.5" x14ac:dyDescent="0.55000000000000004">
      <c r="A14" s="110"/>
      <c r="B14" s="111"/>
      <c r="C14" s="59"/>
      <c r="D14" s="59"/>
      <c r="E14" s="64"/>
      <c r="F14" s="51"/>
      <c r="G14" s="85" t="s">
        <v>102</v>
      </c>
      <c r="H14" s="86">
        <v>6.26</v>
      </c>
      <c r="I14" s="87">
        <v>-0.23469999999999999</v>
      </c>
      <c r="J14" s="88">
        <v>2.6100000000000002E-2</v>
      </c>
      <c r="K14" s="89">
        <v>0.622</v>
      </c>
      <c r="L14" s="85" t="s">
        <v>102</v>
      </c>
      <c r="M14" s="87">
        <v>-4.82E-2</v>
      </c>
      <c r="N14" s="88">
        <v>4.3499999999999997E-2</v>
      </c>
      <c r="O14" s="88">
        <v>5.7999999999999996E-3</v>
      </c>
      <c r="P14" s="88">
        <v>1.5299999999999999E-2</v>
      </c>
      <c r="Q14" s="89">
        <v>1.5299999999999999E-2</v>
      </c>
      <c r="R14" s="85" t="s">
        <v>102</v>
      </c>
      <c r="S14" s="87">
        <v>0</v>
      </c>
      <c r="T14" s="88">
        <v>0</v>
      </c>
      <c r="U14" s="88">
        <v>0</v>
      </c>
      <c r="V14" s="89">
        <v>0</v>
      </c>
      <c r="W14" s="90" t="s">
        <v>102</v>
      </c>
      <c r="X14" s="91">
        <v>-5.5399999999999998E-2</v>
      </c>
      <c r="Y14" s="91">
        <v>2.5399999999999999E-2</v>
      </c>
      <c r="Z14" s="92">
        <v>4.7999999999999996E-3</v>
      </c>
      <c r="AA14" s="109">
        <v>4.0599999999999997E-2</v>
      </c>
      <c r="AB14" s="85" t="s">
        <v>102</v>
      </c>
      <c r="AC14" s="93">
        <v>-4.0000000000000002E-4</v>
      </c>
      <c r="AD14" s="91">
        <v>8.9999999999999998E-4</v>
      </c>
      <c r="AE14" s="92">
        <v>-5.0000000000000001E-3</v>
      </c>
      <c r="AG14" s="154"/>
      <c r="AH14" s="155"/>
      <c r="AI14" s="156"/>
      <c r="AJ14" s="157"/>
      <c r="AK14" s="158"/>
    </row>
    <row r="15" spans="1:37" ht="18.5" x14ac:dyDescent="0.55000000000000004">
      <c r="A15" s="112" t="s">
        <v>881</v>
      </c>
      <c r="B15" s="113"/>
      <c r="C15" s="64"/>
      <c r="D15" s="64"/>
      <c r="F15" s="51"/>
      <c r="G15" s="85" t="s">
        <v>562</v>
      </c>
      <c r="H15" s="86">
        <v>6.5667114419095167</v>
      </c>
      <c r="I15" s="87">
        <v>-0.23469999999999999</v>
      </c>
      <c r="J15" s="88">
        <v>2.6100000000000002E-2</v>
      </c>
      <c r="K15" s="89">
        <v>0.622</v>
      </c>
      <c r="L15" s="85" t="s">
        <v>562</v>
      </c>
      <c r="M15" s="87">
        <v>-4.82E-2</v>
      </c>
      <c r="N15" s="88">
        <v>4.3499999999999997E-2</v>
      </c>
      <c r="O15" s="88">
        <v>5.7999999999999996E-3</v>
      </c>
      <c r="P15" s="88">
        <v>1.5299999999999999E-2</v>
      </c>
      <c r="Q15" s="89">
        <v>1.5299999999999999E-2</v>
      </c>
      <c r="R15" s="85" t="s">
        <v>562</v>
      </c>
      <c r="S15" s="87">
        <v>0</v>
      </c>
      <c r="T15" s="88">
        <v>0</v>
      </c>
      <c r="U15" s="88">
        <v>0</v>
      </c>
      <c r="V15" s="89">
        <v>0</v>
      </c>
      <c r="W15" s="90" t="s">
        <v>562</v>
      </c>
      <c r="X15" s="91">
        <v>-5.5399999999999998E-2</v>
      </c>
      <c r="Y15" s="91">
        <v>2.5399999999999999E-2</v>
      </c>
      <c r="Z15" s="92">
        <v>4.7999999999999996E-3</v>
      </c>
      <c r="AA15" s="109">
        <v>4.0599999999999997E-2</v>
      </c>
      <c r="AB15" s="85" t="s">
        <v>562</v>
      </c>
      <c r="AC15" s="93">
        <v>-4.0000000000000002E-4</v>
      </c>
      <c r="AD15" s="91">
        <v>8.9999999999999998E-4</v>
      </c>
      <c r="AE15" s="92">
        <v>-5.0000000000000001E-3</v>
      </c>
      <c r="AG15" s="154"/>
      <c r="AH15" s="155"/>
      <c r="AI15" s="156"/>
      <c r="AJ15" s="157"/>
      <c r="AK15" s="158"/>
    </row>
    <row r="16" spans="1:37" ht="17" thickBot="1" x14ac:dyDescent="0.55000000000000004">
      <c r="A16" s="51"/>
      <c r="F16" s="51"/>
      <c r="G16" s="85" t="s">
        <v>872</v>
      </c>
      <c r="H16" s="86">
        <v>125.72912541159806</v>
      </c>
      <c r="I16" s="114">
        <v>-0.23469999999999999</v>
      </c>
      <c r="J16" s="115">
        <v>2.6100000000000002E-2</v>
      </c>
      <c r="K16" s="116">
        <v>0.622</v>
      </c>
      <c r="L16" s="85" t="s">
        <v>872</v>
      </c>
      <c r="M16" s="114">
        <v>-4.82E-2</v>
      </c>
      <c r="N16" s="115">
        <v>4.3499999999999997E-2</v>
      </c>
      <c r="O16" s="115">
        <v>5.7999999999999996E-3</v>
      </c>
      <c r="P16" s="115">
        <v>1.5299999999999999E-2</v>
      </c>
      <c r="Q16" s="116">
        <v>1.5299999999999999E-2</v>
      </c>
      <c r="R16" s="85" t="s">
        <v>872</v>
      </c>
      <c r="S16" s="114">
        <v>0</v>
      </c>
      <c r="T16" s="115">
        <v>0</v>
      </c>
      <c r="U16" s="115">
        <v>0</v>
      </c>
      <c r="V16" s="116">
        <v>0</v>
      </c>
      <c r="W16" s="117" t="s">
        <v>872</v>
      </c>
      <c r="X16" s="118">
        <v>-5.5399999999999998E-2</v>
      </c>
      <c r="Y16" s="118">
        <v>2.5399999999999999E-2</v>
      </c>
      <c r="Z16" s="119">
        <v>4.7999999999999996E-3</v>
      </c>
      <c r="AA16" s="109">
        <v>4.0599999999999997E-2</v>
      </c>
      <c r="AB16" s="85" t="s">
        <v>872</v>
      </c>
      <c r="AC16" s="120">
        <v>-4.0000000000000002E-4</v>
      </c>
      <c r="AD16" s="118">
        <v>8.9999999999999998E-4</v>
      </c>
      <c r="AE16" s="119">
        <v>-5.0000000000000001E-3</v>
      </c>
      <c r="AG16" s="154"/>
      <c r="AH16" s="155"/>
      <c r="AI16" s="156"/>
      <c r="AJ16" s="157"/>
      <c r="AK16" s="158"/>
    </row>
    <row r="17" spans="1:37" ht="18.5" x14ac:dyDescent="0.55000000000000004">
      <c r="A17" s="121"/>
      <c r="B17" s="111"/>
      <c r="C17" s="122"/>
      <c r="D17" s="122"/>
      <c r="E17" s="123"/>
      <c r="F17" s="51"/>
      <c r="AB17" s="85"/>
      <c r="AC17" s="88"/>
      <c r="AD17" s="88"/>
      <c r="AE17" s="88"/>
      <c r="AG17" s="154"/>
      <c r="AH17" s="155"/>
      <c r="AI17" s="156"/>
      <c r="AJ17" s="157"/>
      <c r="AK17" s="158"/>
    </row>
    <row r="18" spans="1:37" ht="18.5" x14ac:dyDescent="0.55000000000000004">
      <c r="A18" s="121"/>
      <c r="B18" s="111"/>
      <c r="C18" s="122"/>
      <c r="D18" s="122"/>
      <c r="E18" s="123"/>
      <c r="F18" s="51"/>
      <c r="H18" s="64" t="s">
        <v>863</v>
      </c>
      <c r="I18" s="64" t="s">
        <v>817</v>
      </c>
      <c r="J18" s="64" t="s">
        <v>844</v>
      </c>
      <c r="K18" s="64" t="s">
        <v>818</v>
      </c>
      <c r="L18" s="64" t="s">
        <v>845</v>
      </c>
      <c r="AG18" s="154"/>
      <c r="AH18" s="155"/>
      <c r="AI18" s="156"/>
      <c r="AJ18" s="157"/>
      <c r="AK18" s="158"/>
    </row>
    <row r="19" spans="1:37" ht="18.5" x14ac:dyDescent="0.55000000000000004">
      <c r="A19" s="105"/>
      <c r="B19" s="111"/>
      <c r="C19" s="64"/>
      <c r="D19" s="64"/>
      <c r="F19" s="51"/>
      <c r="G19" s="64" t="s">
        <v>16</v>
      </c>
      <c r="H19" s="64">
        <v>0.74999999999999989</v>
      </c>
      <c r="I19" s="64">
        <v>0.89285714285714279</v>
      </c>
      <c r="J19" s="64">
        <v>1</v>
      </c>
      <c r="K19" s="64">
        <v>1.1785714285714286</v>
      </c>
      <c r="L19" s="64">
        <v>1.3928571428571428</v>
      </c>
      <c r="M19" s="64" t="s">
        <v>17</v>
      </c>
      <c r="AG19" s="154"/>
      <c r="AH19" s="155"/>
      <c r="AI19" s="156"/>
      <c r="AJ19" s="157"/>
      <c r="AK19" s="158"/>
    </row>
    <row r="20" spans="1:37" ht="18.5" x14ac:dyDescent="0.55000000000000004">
      <c r="A20" s="105"/>
      <c r="B20" s="59"/>
      <c r="F20" s="51"/>
      <c r="G20" s="64" t="s">
        <v>57</v>
      </c>
      <c r="H20" s="64">
        <v>0.75</v>
      </c>
      <c r="I20" s="64">
        <v>0.83333333333333337</v>
      </c>
      <c r="J20" s="64">
        <v>1</v>
      </c>
      <c r="K20" s="64">
        <v>1.1666666666666667</v>
      </c>
      <c r="L20" s="64">
        <v>1.3333333333333335</v>
      </c>
      <c r="M20" s="64" t="s">
        <v>17</v>
      </c>
      <c r="AG20" s="159"/>
      <c r="AH20" s="155"/>
      <c r="AI20" s="156"/>
      <c r="AJ20" s="157"/>
      <c r="AK20" s="158"/>
    </row>
    <row r="21" spans="1:37" x14ac:dyDescent="0.5">
      <c r="A21" s="124" t="s">
        <v>854</v>
      </c>
      <c r="B21" s="94">
        <f>(_xlfn.XLOOKUP($B$6,$G$19:$G$28,$H$19:$H$28))*$B$13</f>
        <v>0.66137669946526911</v>
      </c>
      <c r="C21" s="94"/>
      <c r="D21" s="94"/>
      <c r="F21" s="51"/>
      <c r="G21" s="64" t="s">
        <v>819</v>
      </c>
      <c r="H21" s="64">
        <v>0.73076923076923073</v>
      </c>
      <c r="I21" s="64">
        <v>0.88461538461538458</v>
      </c>
      <c r="J21" s="64">
        <v>1</v>
      </c>
      <c r="K21" s="64">
        <v>1.1923076923076923</v>
      </c>
      <c r="L21" s="64">
        <v>1.3846153846153846</v>
      </c>
      <c r="M21" s="64" t="s">
        <v>17</v>
      </c>
      <c r="AG21" s="160"/>
      <c r="AH21" s="155"/>
      <c r="AI21" s="156"/>
      <c r="AJ21" s="157"/>
      <c r="AK21" s="158"/>
    </row>
    <row r="22" spans="1:37" x14ac:dyDescent="0.5">
      <c r="A22" s="124" t="s">
        <v>855</v>
      </c>
      <c r="B22" s="94">
        <f>(_xlfn.XLOOKUP($B$6,$G$19:$G$28,$I$19:$I$28))*$B$13</f>
        <v>0.78598390371234872</v>
      </c>
      <c r="C22" s="94"/>
      <c r="D22" s="94"/>
      <c r="F22" s="51"/>
      <c r="G22" s="64" t="s">
        <v>29</v>
      </c>
      <c r="H22" s="64">
        <v>0.7567567567567568</v>
      </c>
      <c r="I22" s="64">
        <v>0.891891891891892</v>
      </c>
      <c r="J22" s="64">
        <v>1</v>
      </c>
      <c r="K22" s="64">
        <v>1.2162162162162162</v>
      </c>
      <c r="L22" s="64">
        <v>1.4054054054054055</v>
      </c>
      <c r="M22" s="64" t="s">
        <v>17</v>
      </c>
      <c r="AG22" s="160"/>
      <c r="AH22" s="155"/>
      <c r="AI22" s="156"/>
      <c r="AJ22" s="157"/>
      <c r="AK22" s="158"/>
    </row>
    <row r="23" spans="1:37" x14ac:dyDescent="0.5">
      <c r="A23" s="124" t="s">
        <v>856</v>
      </c>
      <c r="B23" s="94">
        <f>B13</f>
        <v>0.88183559928702548</v>
      </c>
      <c r="C23" s="94"/>
      <c r="D23" s="94"/>
      <c r="F23" s="51"/>
      <c r="G23" s="64" t="s">
        <v>200</v>
      </c>
      <c r="H23" s="64">
        <v>0.75</v>
      </c>
      <c r="I23" s="64">
        <v>0.88636363636363635</v>
      </c>
      <c r="J23" s="64">
        <v>1</v>
      </c>
      <c r="K23" s="64">
        <v>1.2045454545454546</v>
      </c>
      <c r="L23" s="64">
        <v>1.4090909090909092</v>
      </c>
      <c r="M23" s="64" t="s">
        <v>17</v>
      </c>
      <c r="AG23" s="160"/>
      <c r="AH23" s="155"/>
      <c r="AI23" s="156"/>
      <c r="AJ23" s="157"/>
      <c r="AK23" s="158"/>
    </row>
    <row r="24" spans="1:37" ht="17" thickBot="1" x14ac:dyDescent="0.55000000000000004">
      <c r="A24" s="124" t="s">
        <v>857</v>
      </c>
      <c r="B24" s="94">
        <f>(_xlfn.XLOOKUP($B$6,$G$19:$G$28,$K$19:$K$28))*$B$13</f>
        <v>1.0447834817639758</v>
      </c>
      <c r="C24" s="94"/>
      <c r="D24" s="94"/>
      <c r="F24" s="51"/>
      <c r="G24" s="64" t="s">
        <v>573</v>
      </c>
      <c r="H24" s="64">
        <v>0.75</v>
      </c>
      <c r="I24" s="64">
        <v>0.89130434782608692</v>
      </c>
      <c r="J24" s="64">
        <v>1</v>
      </c>
      <c r="K24" s="64">
        <v>1.1847826086956521</v>
      </c>
      <c r="L24" s="64">
        <v>1.4021739130434783</v>
      </c>
      <c r="M24" s="64" t="s">
        <v>865</v>
      </c>
      <c r="AG24" s="161" t="s">
        <v>878</v>
      </c>
      <c r="AH24" s="162">
        <f>SUM(AH12:AH23)</f>
        <v>0</v>
      </c>
      <c r="AI24" s="163">
        <f t="shared" ref="AI24:AJ24" si="0">SUM(AI12:AI23)</f>
        <v>0</v>
      </c>
      <c r="AJ24" s="164">
        <f t="shared" si="0"/>
        <v>0</v>
      </c>
      <c r="AK24" s="165">
        <f>SUM(AK12:AK23)</f>
        <v>0</v>
      </c>
    </row>
    <row r="25" spans="1:37" x14ac:dyDescent="0.5">
      <c r="A25" s="124" t="s">
        <v>858</v>
      </c>
      <c r="B25" s="94">
        <f>(_xlfn.XLOOKUP($B$6,$G$19:$G$28,$L$19:$L$28))*$B$13</f>
        <v>1.2364868729133291</v>
      </c>
      <c r="C25" s="94"/>
      <c r="D25" s="94"/>
      <c r="F25" s="51"/>
      <c r="G25" s="85" t="s">
        <v>108</v>
      </c>
      <c r="H25" s="64">
        <v>0.68120300751879703</v>
      </c>
      <c r="I25" s="64">
        <v>0.76541353383458643</v>
      </c>
      <c r="J25" s="64">
        <v>1</v>
      </c>
      <c r="K25" s="64">
        <v>1.524812030075188</v>
      </c>
      <c r="L25" s="64">
        <v>1.6180451127819548</v>
      </c>
      <c r="M25" s="64" t="s">
        <v>103</v>
      </c>
    </row>
    <row r="26" spans="1:37" x14ac:dyDescent="0.5">
      <c r="F26" s="51"/>
      <c r="G26" s="85" t="s">
        <v>102</v>
      </c>
      <c r="H26" s="64">
        <v>0.68153846153846154</v>
      </c>
      <c r="I26" s="64">
        <v>0.7630769230769231</v>
      </c>
      <c r="J26" s="64">
        <v>1</v>
      </c>
      <c r="K26" s="64">
        <v>1.5230769230769232</v>
      </c>
      <c r="L26" s="64">
        <v>1.6184615384615384</v>
      </c>
      <c r="M26" s="64" t="s">
        <v>103</v>
      </c>
    </row>
    <row r="27" spans="1:37" ht="74" x14ac:dyDescent="0.55000000000000004">
      <c r="A27" s="124" t="s">
        <v>862</v>
      </c>
      <c r="B27" s="125" t="str">
        <f>B5&amp;" / "&amp;B6&amp;" / "&amp;B7&amp;" Intensity / "&amp;B8&amp;" / "&amp;B9&amp;" Ownership"</f>
        <v>Uzbekistan / SMS/phone  / Average Intensity / HIV / Public Ownership</v>
      </c>
      <c r="F27" s="51"/>
      <c r="G27" s="85" t="s">
        <v>562</v>
      </c>
      <c r="H27" s="64">
        <v>0.68081991215226945</v>
      </c>
      <c r="I27" s="64">
        <v>0.75988286969253305</v>
      </c>
      <c r="J27" s="64">
        <v>1</v>
      </c>
      <c r="K27" s="64">
        <v>1.5197657393850661</v>
      </c>
      <c r="L27" s="64">
        <v>1.6163982430453878</v>
      </c>
      <c r="M27" s="64" t="s">
        <v>103</v>
      </c>
    </row>
    <row r="28" spans="1:37" x14ac:dyDescent="0.5">
      <c r="F28" s="51"/>
      <c r="G28" s="85" t="s">
        <v>872</v>
      </c>
      <c r="H28" s="64">
        <v>0.68120300751879703</v>
      </c>
      <c r="I28" s="64">
        <v>0.76541353383458643</v>
      </c>
      <c r="J28" s="64">
        <v>1</v>
      </c>
      <c r="K28" s="64">
        <v>1.524812030075188</v>
      </c>
      <c r="L28" s="64">
        <v>1.6180451127819548</v>
      </c>
      <c r="M28" s="64" t="s">
        <v>866</v>
      </c>
      <c r="AG28" s="126"/>
    </row>
    <row r="29" spans="1:37" x14ac:dyDescent="0.5">
      <c r="F29" s="51"/>
      <c r="AG29" s="126"/>
    </row>
    <row r="30" spans="1:37" x14ac:dyDescent="0.5">
      <c r="F30" s="51"/>
    </row>
    <row r="31" spans="1:37" x14ac:dyDescent="0.5">
      <c r="F31" s="51"/>
    </row>
    <row r="32" spans="1:37" x14ac:dyDescent="0.5">
      <c r="F32" s="51"/>
    </row>
    <row r="33" spans="1:6" x14ac:dyDescent="0.5">
      <c r="A33" s="143"/>
      <c r="B33" s="123"/>
      <c r="C33" s="144"/>
      <c r="D33" s="123"/>
      <c r="F33" s="51"/>
    </row>
    <row r="34" spans="1:6" x14ac:dyDescent="0.5">
      <c r="F34" s="51"/>
    </row>
    <row r="35" spans="1:6" x14ac:dyDescent="0.5">
      <c r="F35" s="51"/>
    </row>
    <row r="36" spans="1:6" x14ac:dyDescent="0.5">
      <c r="F36" s="51"/>
    </row>
    <row r="37" spans="1:6" x14ac:dyDescent="0.5">
      <c r="F37" s="51"/>
    </row>
    <row r="38" spans="1:6" x14ac:dyDescent="0.5">
      <c r="F38" s="51"/>
    </row>
    <row r="39" spans="1:6" x14ac:dyDescent="0.5">
      <c r="F39" s="51"/>
    </row>
    <row r="40" spans="1:6" x14ac:dyDescent="0.5">
      <c r="F40" s="51"/>
    </row>
    <row r="41" spans="1:6" x14ac:dyDescent="0.5">
      <c r="F41" s="51"/>
    </row>
    <row r="42" spans="1:6" x14ac:dyDescent="0.5">
      <c r="F42" s="51"/>
    </row>
    <row r="43" spans="1:6" x14ac:dyDescent="0.5">
      <c r="F43" s="51"/>
    </row>
    <row r="44" spans="1:6" x14ac:dyDescent="0.5">
      <c r="F44" s="51"/>
    </row>
    <row r="45" spans="1:6" x14ac:dyDescent="0.5">
      <c r="F45" s="51"/>
    </row>
    <row r="46" spans="1:6" x14ac:dyDescent="0.5">
      <c r="F46" s="51"/>
    </row>
    <row r="47" spans="1:6" x14ac:dyDescent="0.5">
      <c r="F47" s="51"/>
    </row>
    <row r="48" spans="1:6" x14ac:dyDescent="0.5">
      <c r="F48" s="51"/>
    </row>
    <row r="49" spans="6:6" x14ac:dyDescent="0.5">
      <c r="F49" s="51"/>
    </row>
    <row r="50" spans="6:6" x14ac:dyDescent="0.5">
      <c r="F50" s="51"/>
    </row>
    <row r="51" spans="6:6" x14ac:dyDescent="0.5">
      <c r="F51" s="51"/>
    </row>
    <row r="52" spans="6:6" x14ac:dyDescent="0.5">
      <c r="F52" s="51"/>
    </row>
    <row r="53" spans="6:6" x14ac:dyDescent="0.5">
      <c r="F53" s="51"/>
    </row>
    <row r="54" spans="6:6" x14ac:dyDescent="0.5">
      <c r="F54" s="51"/>
    </row>
    <row r="55" spans="6:6" x14ac:dyDescent="0.5">
      <c r="F55" s="51"/>
    </row>
    <row r="56" spans="6:6" x14ac:dyDescent="0.5">
      <c r="F56" s="51"/>
    </row>
    <row r="57" spans="6:6" x14ac:dyDescent="0.5">
      <c r="F57" s="51"/>
    </row>
    <row r="58" spans="6:6" x14ac:dyDescent="0.5">
      <c r="F58" s="51"/>
    </row>
    <row r="59" spans="6:6" x14ac:dyDescent="0.5">
      <c r="F59" s="51"/>
    </row>
    <row r="60" spans="6:6" x14ac:dyDescent="0.5">
      <c r="F60" s="51"/>
    </row>
    <row r="61" spans="6:6" x14ac:dyDescent="0.5">
      <c r="F61" s="51"/>
    </row>
    <row r="62" spans="6:6" x14ac:dyDescent="0.5">
      <c r="F62" s="51"/>
    </row>
    <row r="63" spans="6:6" x14ac:dyDescent="0.5">
      <c r="F63" s="51"/>
    </row>
    <row r="64" spans="6:6" x14ac:dyDescent="0.5">
      <c r="F64" s="51"/>
    </row>
    <row r="65" spans="6:6" x14ac:dyDescent="0.5">
      <c r="F65" s="51"/>
    </row>
    <row r="66" spans="6:6" x14ac:dyDescent="0.5">
      <c r="F66" s="51"/>
    </row>
    <row r="67" spans="6:6" x14ac:dyDescent="0.5">
      <c r="F67" s="51"/>
    </row>
    <row r="68" spans="6:6" x14ac:dyDescent="0.5">
      <c r="F68" s="51"/>
    </row>
    <row r="69" spans="6:6" x14ac:dyDescent="0.5">
      <c r="F69" s="51"/>
    </row>
    <row r="70" spans="6:6" x14ac:dyDescent="0.5">
      <c r="F70" s="51"/>
    </row>
    <row r="71" spans="6:6" x14ac:dyDescent="0.5">
      <c r="F71" s="51"/>
    </row>
    <row r="72" spans="6:6" x14ac:dyDescent="0.5">
      <c r="F72" s="51"/>
    </row>
    <row r="73" spans="6:6" x14ac:dyDescent="0.5">
      <c r="F73" s="51"/>
    </row>
    <row r="74" spans="6:6" x14ac:dyDescent="0.5">
      <c r="F74" s="51"/>
    </row>
    <row r="75" spans="6:6" x14ac:dyDescent="0.5">
      <c r="F75" s="51"/>
    </row>
    <row r="76" spans="6:6" x14ac:dyDescent="0.5">
      <c r="F76" s="51"/>
    </row>
    <row r="77" spans="6:6" x14ac:dyDescent="0.5">
      <c r="F77" s="51"/>
    </row>
    <row r="78" spans="6:6" x14ac:dyDescent="0.5">
      <c r="F78" s="51"/>
    </row>
    <row r="79" spans="6:6" x14ac:dyDescent="0.5">
      <c r="F79" s="51"/>
    </row>
    <row r="80" spans="6:6" x14ac:dyDescent="0.5">
      <c r="F80" s="51"/>
    </row>
    <row r="81" spans="6:6" x14ac:dyDescent="0.5">
      <c r="F81" s="51"/>
    </row>
    <row r="82" spans="6:6" x14ac:dyDescent="0.5">
      <c r="F82" s="51"/>
    </row>
    <row r="83" spans="6:6" x14ac:dyDescent="0.5">
      <c r="F83" s="51"/>
    </row>
    <row r="84" spans="6:6" x14ac:dyDescent="0.5">
      <c r="F84" s="51"/>
    </row>
    <row r="85" spans="6:6" x14ac:dyDescent="0.5">
      <c r="F85" s="51"/>
    </row>
    <row r="86" spans="6:6" x14ac:dyDescent="0.5">
      <c r="F86" s="51"/>
    </row>
    <row r="87" spans="6:6" x14ac:dyDescent="0.5">
      <c r="F87" s="51"/>
    </row>
    <row r="88" spans="6:6" x14ac:dyDescent="0.5">
      <c r="F88" s="51"/>
    </row>
    <row r="89" spans="6:6" x14ac:dyDescent="0.5">
      <c r="F89" s="51"/>
    </row>
    <row r="90" spans="6:6" x14ac:dyDescent="0.5">
      <c r="F90" s="51"/>
    </row>
    <row r="91" spans="6:6" x14ac:dyDescent="0.5">
      <c r="F91" s="51"/>
    </row>
    <row r="92" spans="6:6" x14ac:dyDescent="0.5">
      <c r="F92" s="51"/>
    </row>
    <row r="93" spans="6:6" x14ac:dyDescent="0.5">
      <c r="F93" s="51"/>
    </row>
    <row r="94" spans="6:6" x14ac:dyDescent="0.5">
      <c r="F94" s="51"/>
    </row>
    <row r="95" spans="6:6" x14ac:dyDescent="0.5">
      <c r="F95" s="51"/>
    </row>
    <row r="96" spans="6:6" x14ac:dyDescent="0.5">
      <c r="F96" s="51"/>
    </row>
    <row r="97" spans="6:6" x14ac:dyDescent="0.5">
      <c r="F97" s="51"/>
    </row>
    <row r="98" spans="6:6" x14ac:dyDescent="0.5">
      <c r="F98" s="51"/>
    </row>
    <row r="99" spans="6:6" x14ac:dyDescent="0.5">
      <c r="F99" s="51"/>
    </row>
    <row r="100" spans="6:6" x14ac:dyDescent="0.5">
      <c r="F100" s="51"/>
    </row>
    <row r="101" spans="6:6" x14ac:dyDescent="0.5">
      <c r="F101" s="51"/>
    </row>
    <row r="102" spans="6:6" x14ac:dyDescent="0.5">
      <c r="F102" s="51"/>
    </row>
    <row r="103" spans="6:6" x14ac:dyDescent="0.5">
      <c r="F103" s="51"/>
    </row>
    <row r="104" spans="6:6" x14ac:dyDescent="0.5">
      <c r="F104" s="51"/>
    </row>
    <row r="105" spans="6:6" x14ac:dyDescent="0.5">
      <c r="F105" s="51"/>
    </row>
    <row r="106" spans="6:6" x14ac:dyDescent="0.5">
      <c r="F106" s="51"/>
    </row>
    <row r="107" spans="6:6" x14ac:dyDescent="0.5">
      <c r="F107" s="51"/>
    </row>
    <row r="108" spans="6:6" x14ac:dyDescent="0.5">
      <c r="F108" s="51"/>
    </row>
    <row r="109" spans="6:6" x14ac:dyDescent="0.5">
      <c r="F109" s="51"/>
    </row>
    <row r="110" spans="6:6" x14ac:dyDescent="0.5">
      <c r="F110" s="51"/>
    </row>
    <row r="111" spans="6:6" x14ac:dyDescent="0.5">
      <c r="F111" s="51"/>
    </row>
    <row r="112" spans="6:6" x14ac:dyDescent="0.5">
      <c r="F112" s="51"/>
    </row>
    <row r="113" spans="6:6" x14ac:dyDescent="0.5">
      <c r="F113" s="51"/>
    </row>
    <row r="114" spans="6:6" x14ac:dyDescent="0.5">
      <c r="F114" s="51"/>
    </row>
    <row r="115" spans="6:6" x14ac:dyDescent="0.5">
      <c r="F115" s="51"/>
    </row>
    <row r="116" spans="6:6" x14ac:dyDescent="0.5">
      <c r="F116" s="51"/>
    </row>
    <row r="117" spans="6:6" x14ac:dyDescent="0.5">
      <c r="F117" s="51"/>
    </row>
    <row r="118" spans="6:6" x14ac:dyDescent="0.5">
      <c r="F118" s="51"/>
    </row>
    <row r="119" spans="6:6" x14ac:dyDescent="0.5">
      <c r="F119" s="51"/>
    </row>
    <row r="120" spans="6:6" x14ac:dyDescent="0.5">
      <c r="F120" s="51"/>
    </row>
    <row r="121" spans="6:6" x14ac:dyDescent="0.5">
      <c r="F121" s="51"/>
    </row>
    <row r="122" spans="6:6" x14ac:dyDescent="0.5">
      <c r="F122" s="51"/>
    </row>
    <row r="123" spans="6:6" x14ac:dyDescent="0.5">
      <c r="F123" s="51"/>
    </row>
    <row r="124" spans="6:6" x14ac:dyDescent="0.5">
      <c r="F124" s="51"/>
    </row>
    <row r="125" spans="6:6" x14ac:dyDescent="0.5">
      <c r="F125" s="51"/>
    </row>
    <row r="126" spans="6:6" x14ac:dyDescent="0.5">
      <c r="F126" s="51"/>
    </row>
    <row r="127" spans="6:6" x14ac:dyDescent="0.5">
      <c r="F127" s="51"/>
    </row>
    <row r="128" spans="6:6" x14ac:dyDescent="0.5">
      <c r="F128" s="51"/>
    </row>
    <row r="129" spans="6:6" x14ac:dyDescent="0.5">
      <c r="F129" s="51"/>
    </row>
    <row r="130" spans="6:6" x14ac:dyDescent="0.5">
      <c r="F130" s="51"/>
    </row>
    <row r="131" spans="6:6" x14ac:dyDescent="0.5">
      <c r="F131" s="51"/>
    </row>
    <row r="132" spans="6:6" x14ac:dyDescent="0.5">
      <c r="F132" s="51"/>
    </row>
    <row r="133" spans="6:6" x14ac:dyDescent="0.5">
      <c r="F133" s="51"/>
    </row>
    <row r="134" spans="6:6" x14ac:dyDescent="0.5">
      <c r="F134" s="51"/>
    </row>
    <row r="135" spans="6:6" x14ac:dyDescent="0.5">
      <c r="F135" s="51"/>
    </row>
    <row r="136" spans="6:6" x14ac:dyDescent="0.5">
      <c r="F136" s="51"/>
    </row>
    <row r="137" spans="6:6" x14ac:dyDescent="0.5">
      <c r="F137" s="51"/>
    </row>
    <row r="138" spans="6:6" x14ac:dyDescent="0.5">
      <c r="F138" s="51"/>
    </row>
    <row r="139" spans="6:6" x14ac:dyDescent="0.5">
      <c r="F139" s="51"/>
    </row>
    <row r="140" spans="6:6" x14ac:dyDescent="0.5">
      <c r="F140" s="51"/>
    </row>
    <row r="141" spans="6:6" x14ac:dyDescent="0.5">
      <c r="F141" s="51"/>
    </row>
    <row r="142" spans="6:6" x14ac:dyDescent="0.5">
      <c r="F142" s="51"/>
    </row>
    <row r="143" spans="6:6" x14ac:dyDescent="0.5">
      <c r="F143" s="51"/>
    </row>
    <row r="144" spans="6:6" x14ac:dyDescent="0.5">
      <c r="F144" s="51"/>
    </row>
    <row r="145" spans="6:6" x14ac:dyDescent="0.5">
      <c r="F145" s="51"/>
    </row>
    <row r="146" spans="6:6" x14ac:dyDescent="0.5">
      <c r="F146" s="51"/>
    </row>
    <row r="147" spans="6:6" x14ac:dyDescent="0.5">
      <c r="F147" s="51"/>
    </row>
    <row r="148" spans="6:6" x14ac:dyDescent="0.5">
      <c r="F148" s="51"/>
    </row>
  </sheetData>
  <sheetProtection algorithmName="SHA-512" hashValue="/V0VuKg2Mc5HcD9ljrWQTCumPhSpyvlhnQ8qtZYgLNjUuHYntG6HAoFW8oJ29aUsGAli3YQg6qkwzmKeV2V0yQ==" saltValue="sSLgSslmlcSmPp5s2+Iu9g==" spinCount="100000" sheet="1" objects="1" scenarios="1"/>
  <dataValidations count="5">
    <dataValidation type="list" allowBlank="1" showInputMessage="1" showErrorMessage="1" sqref="B10" xr:uid="{9DC45569-8CD1-48BC-82B8-9E4E8FCF6EF7}">
      <formula1>$AC$6:$AE$6</formula1>
    </dataValidation>
    <dataValidation type="list" allowBlank="1" showInputMessage="1" showErrorMessage="1" sqref="B7" xr:uid="{07AAA52F-EE7E-49E0-920C-0A4E8AF5A170}">
      <formula1>$I$6:$K$6</formula1>
    </dataValidation>
    <dataValidation type="list" allowBlank="1" showInputMessage="1" showErrorMessage="1" sqref="B8" xr:uid="{322256EA-06E1-4B12-9267-43BF41A1A740}">
      <formula1>$M$6:$Q$6</formula1>
    </dataValidation>
    <dataValidation type="list" allowBlank="1" showInputMessage="1" showErrorMessage="1" sqref="B9" xr:uid="{C2BD6593-65B7-414B-91FF-27DE7D9D3F42}">
      <formula1>$X$6:$Z$6</formula1>
    </dataValidation>
    <dataValidation type="list" allowBlank="1" showInputMessage="1" showErrorMessage="1" sqref="B6" xr:uid="{AE1BC373-AD95-4BEB-9E63-62E972776332}">
      <formula1>$G$7:$G$16</formula1>
    </dataValidation>
  </dataValidations>
  <hyperlinks>
    <hyperlink ref="C6" location="Review!A2" display="Click here to review SBC intervention types" xr:uid="{902EA45B-2530-486F-9BC3-A1F4AF956C79}"/>
    <hyperlink ref="C7" location="Review!A30" display="Click here to review intervention intensity" xr:uid="{A60D3928-F80A-4CBC-A555-BCCF98851783}"/>
    <hyperlink ref="C8" location="Review!A50" display="Click here to review health areas" xr:uid="{F54F384F-B17D-48B8-BAAF-9EEFAC48463E}"/>
    <hyperlink ref="C9" location="Review!A68" display="Click here to review ownership" xr:uid="{557E4571-F072-43D3-96E8-25DE6031BAC4}"/>
    <hyperlink ref="C10" location="Review!A83" display="Click here to review scale" xr:uid="{59EE6739-0A39-48C2-B4F9-EDA357BCA93B}"/>
  </hyperlinks>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2BE8CA67-25E1-4FCF-B600-DE3897C6CD08}">
          <x14:formula1>
            <xm:f>'country list'!$A$2:$A$140</xm:f>
          </x14:formula1>
          <xm:sqref>B5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B90C60-64E7-4E81-8C0E-292D4B32B77D}">
  <sheetPr>
    <tabColor rgb="FF7030A0"/>
  </sheetPr>
  <dimension ref="A1:AK148"/>
  <sheetViews>
    <sheetView showGridLines="0" zoomScaleNormal="100" workbookViewId="0">
      <selection activeCell="AG19" sqref="AG19"/>
    </sheetView>
  </sheetViews>
  <sheetFormatPr defaultColWidth="8.7265625" defaultRowHeight="16.5" x14ac:dyDescent="0.5"/>
  <cols>
    <col min="1" max="1" width="51.7265625" style="124" customWidth="1"/>
    <col min="2" max="2" width="24" style="51" customWidth="1"/>
    <col min="3" max="3" width="7.54296875" style="51" customWidth="1"/>
    <col min="4" max="4" width="11.1796875" style="51" customWidth="1"/>
    <col min="5" max="5" width="15.7265625" style="51" hidden="1" customWidth="1"/>
    <col min="6" max="6" width="12.26953125" style="127" hidden="1" customWidth="1"/>
    <col min="7" max="28" width="8.54296875" style="64" hidden="1" customWidth="1"/>
    <col min="29" max="31" width="8.7265625" style="51" hidden="1" customWidth="1"/>
    <col min="32" max="32" width="22.453125" style="51" customWidth="1"/>
    <col min="33" max="33" width="26.81640625" style="51" customWidth="1"/>
    <col min="34" max="37" width="15.54296875" style="51" customWidth="1"/>
    <col min="38" max="16384" width="8.7265625" style="51"/>
  </cols>
  <sheetData>
    <row r="1" spans="1:37" ht="21" x14ac:dyDescent="0.6">
      <c r="A1" s="63" t="s">
        <v>951</v>
      </c>
      <c r="F1" s="51"/>
    </row>
    <row r="2" spans="1:37" ht="21" x14ac:dyDescent="0.6">
      <c r="A2" s="63"/>
      <c r="F2" s="51"/>
      <c r="AG2" s="65" t="s">
        <v>958</v>
      </c>
      <c r="AI2" s="66" t="s">
        <v>884</v>
      </c>
    </row>
    <row r="3" spans="1:37" x14ac:dyDescent="0.5">
      <c r="A3" s="67"/>
      <c r="F3" s="51"/>
      <c r="AG3" s="68" t="s">
        <v>952</v>
      </c>
      <c r="AH3" s="166">
        <v>300000</v>
      </c>
      <c r="AI3" s="68" t="s">
        <v>879</v>
      </c>
      <c r="AJ3" s="148">
        <v>0</v>
      </c>
    </row>
    <row r="4" spans="1:37" ht="18.5" x14ac:dyDescent="0.55000000000000004">
      <c r="A4" s="69" t="s">
        <v>892</v>
      </c>
      <c r="B4" s="59"/>
      <c r="C4" s="70"/>
      <c r="D4" s="70"/>
      <c r="E4" s="70"/>
      <c r="F4" s="70"/>
      <c r="AG4" s="71" t="s">
        <v>868</v>
      </c>
      <c r="AH4" s="72">
        <f>ROUND(B23*(1+AJ3),2)</f>
        <v>9.48</v>
      </c>
      <c r="AJ4" s="73"/>
    </row>
    <row r="5" spans="1:37" ht="17" thickBot="1" x14ac:dyDescent="0.55000000000000004">
      <c r="A5" s="74" t="s">
        <v>6</v>
      </c>
      <c r="B5" s="146" t="s">
        <v>256</v>
      </c>
      <c r="C5" s="128"/>
      <c r="E5" s="75">
        <f>LN(_xlfn.XLOOKUP($B$5,'country list'!$A$2:$A$140,'country list'!$D$2:$D$140))</f>
        <v>6.9939329752231894</v>
      </c>
      <c r="F5" s="76" t="s">
        <v>816</v>
      </c>
      <c r="K5" s="64" t="s">
        <v>815</v>
      </c>
      <c r="N5" s="64" t="s">
        <v>296</v>
      </c>
      <c r="T5" s="64" t="s">
        <v>820</v>
      </c>
      <c r="Y5" s="64" t="s">
        <v>842</v>
      </c>
      <c r="AA5" s="64" t="s">
        <v>295</v>
      </c>
      <c r="AD5" s="64" t="s">
        <v>873</v>
      </c>
      <c r="AG5" s="71" t="s">
        <v>876</v>
      </c>
      <c r="AH5" s="77">
        <f>ROUND(B21*(1+AJ3),2)</f>
        <v>6.46</v>
      </c>
    </row>
    <row r="6" spans="1:37" x14ac:dyDescent="0.5">
      <c r="A6" s="74" t="s">
        <v>846</v>
      </c>
      <c r="B6" s="146" t="s">
        <v>102</v>
      </c>
      <c r="C6" s="131" t="s">
        <v>885</v>
      </c>
      <c r="D6" s="73"/>
      <c r="E6" s="75">
        <f>_xlfn.XLOOKUP(B6,G7:G16,H7:H16)</f>
        <v>6.26</v>
      </c>
      <c r="F6" s="76" t="s">
        <v>848</v>
      </c>
      <c r="G6" s="64" t="s">
        <v>160</v>
      </c>
      <c r="H6" s="64" t="s">
        <v>848</v>
      </c>
      <c r="I6" s="78" t="s">
        <v>552</v>
      </c>
      <c r="J6" s="79" t="s">
        <v>821</v>
      </c>
      <c r="K6" s="80" t="s">
        <v>553</v>
      </c>
      <c r="L6" s="64" t="s">
        <v>160</v>
      </c>
      <c r="M6" s="78" t="s">
        <v>171</v>
      </c>
      <c r="N6" s="79" t="s">
        <v>28</v>
      </c>
      <c r="O6" s="79" t="s">
        <v>47</v>
      </c>
      <c r="P6" s="79" t="s">
        <v>187</v>
      </c>
      <c r="Q6" s="80" t="s">
        <v>42</v>
      </c>
      <c r="R6" s="64" t="s">
        <v>160</v>
      </c>
      <c r="S6" s="78" t="s">
        <v>826</v>
      </c>
      <c r="T6" s="79" t="s">
        <v>32</v>
      </c>
      <c r="U6" s="79" t="s">
        <v>114</v>
      </c>
      <c r="V6" s="80" t="s">
        <v>42</v>
      </c>
      <c r="W6" s="81" t="s">
        <v>160</v>
      </c>
      <c r="X6" s="82" t="s">
        <v>38</v>
      </c>
      <c r="Y6" s="82" t="s">
        <v>44</v>
      </c>
      <c r="Z6" s="83" t="s">
        <v>42</v>
      </c>
      <c r="AB6" s="64" t="s">
        <v>160</v>
      </c>
      <c r="AC6" s="81" t="s">
        <v>859</v>
      </c>
      <c r="AD6" s="82" t="s">
        <v>33</v>
      </c>
      <c r="AE6" s="83" t="s">
        <v>137</v>
      </c>
      <c r="AG6" s="71" t="s">
        <v>877</v>
      </c>
      <c r="AH6" s="77">
        <f>ROUND(B25*(1+AJ3),2)</f>
        <v>15.35</v>
      </c>
      <c r="AK6" s="145"/>
    </row>
    <row r="7" spans="1:37" x14ac:dyDescent="0.5">
      <c r="A7" s="74" t="s">
        <v>822</v>
      </c>
      <c r="B7" s="146" t="s">
        <v>553</v>
      </c>
      <c r="C7" s="131" t="s">
        <v>886</v>
      </c>
      <c r="D7" s="73"/>
      <c r="E7" s="84" cm="1">
        <f t="array" ref="E7">_xlfn.XLOOKUP($B$6,$G$7:$G$16,_xlfn.XLOOKUP($B$7,$I$6:$K$6,$I$7:$K$16))</f>
        <v>0.622</v>
      </c>
      <c r="F7" s="76" t="s">
        <v>850</v>
      </c>
      <c r="G7" s="85" t="s">
        <v>16</v>
      </c>
      <c r="H7" s="86">
        <v>0.27811000000000002</v>
      </c>
      <c r="I7" s="87">
        <v>-0.14812431515783983</v>
      </c>
      <c r="J7" s="88">
        <v>-9.7226715366553335E-3</v>
      </c>
      <c r="K7" s="89">
        <v>0.22824849986955392</v>
      </c>
      <c r="L7" s="85" t="s">
        <v>16</v>
      </c>
      <c r="M7" s="87">
        <v>-2.3266266631881038E-2</v>
      </c>
      <c r="N7" s="88">
        <v>3.498784242108012E-2</v>
      </c>
      <c r="O7" s="88">
        <v>3.3843986433602937E-3</v>
      </c>
      <c r="P7" s="88">
        <v>-2.1497417166710154E-2</v>
      </c>
      <c r="Q7" s="89">
        <v>-2.1497417166710154E-2</v>
      </c>
      <c r="R7" s="85" t="s">
        <v>16</v>
      </c>
      <c r="S7" s="87">
        <v>9.4895303939473041E-2</v>
      </c>
      <c r="T7" s="88">
        <v>-4.7576937124967397E-2</v>
      </c>
      <c r="U7" s="88">
        <v>-3.319102530654839E-2</v>
      </c>
      <c r="V7" s="89">
        <v>-3.319102530654839E-2</v>
      </c>
      <c r="W7" s="90" t="s">
        <v>16</v>
      </c>
      <c r="X7" s="91">
        <v>3.2828280720062594E-2</v>
      </c>
      <c r="Y7" s="91">
        <v>-3.9625150013044563E-2</v>
      </c>
      <c r="Z7" s="92">
        <v>1.3733263762066256E-2</v>
      </c>
      <c r="AA7" s="64">
        <v>0</v>
      </c>
      <c r="AB7" s="85" t="s">
        <v>16</v>
      </c>
      <c r="AC7" s="93">
        <v>0</v>
      </c>
      <c r="AD7" s="91">
        <v>0</v>
      </c>
      <c r="AE7" s="92">
        <v>0</v>
      </c>
      <c r="AK7" s="94"/>
    </row>
    <row r="8" spans="1:37" x14ac:dyDescent="0.5">
      <c r="A8" s="74" t="s">
        <v>823</v>
      </c>
      <c r="B8" s="146" t="s">
        <v>171</v>
      </c>
      <c r="C8" s="131" t="s">
        <v>889</v>
      </c>
      <c r="E8" s="84" cm="1">
        <f t="array" ref="E8">_xlfn.XLOOKUP($B$6,$L$7:$L$16,_xlfn.XLOOKUP($B$8,$M$6:$Q$6,$M$7:$Q$16))</f>
        <v>-4.82E-2</v>
      </c>
      <c r="F8" s="76" t="s">
        <v>851</v>
      </c>
      <c r="G8" s="85" t="s">
        <v>57</v>
      </c>
      <c r="H8" s="86">
        <v>0.1173</v>
      </c>
      <c r="I8" s="87">
        <v>-0.14812431515783983</v>
      </c>
      <c r="J8" s="88">
        <v>-9.7226715366553335E-3</v>
      </c>
      <c r="K8" s="89">
        <v>0.22824849986955392</v>
      </c>
      <c r="L8" s="85" t="s">
        <v>57</v>
      </c>
      <c r="M8" s="87">
        <v>-2.3266266631881038E-2</v>
      </c>
      <c r="N8" s="88">
        <v>3.498784242108012E-2</v>
      </c>
      <c r="O8" s="88">
        <v>3.3843986433602937E-3</v>
      </c>
      <c r="P8" s="88">
        <v>-2.1497417166710154E-2</v>
      </c>
      <c r="Q8" s="89">
        <v>-2.1497417166710154E-2</v>
      </c>
      <c r="R8" s="85" t="s">
        <v>57</v>
      </c>
      <c r="S8" s="87">
        <v>9.4895303939473041E-2</v>
      </c>
      <c r="T8" s="88">
        <v>-4.7576937124967397E-2</v>
      </c>
      <c r="U8" s="88">
        <v>-3.319102530654839E-2</v>
      </c>
      <c r="V8" s="89">
        <v>-3.319102530654839E-2</v>
      </c>
      <c r="W8" s="90" t="s">
        <v>57</v>
      </c>
      <c r="X8" s="91">
        <v>3.2828280720062594E-2</v>
      </c>
      <c r="Y8" s="91">
        <v>-3.9625150013044563E-2</v>
      </c>
      <c r="Z8" s="92">
        <v>1.3733263762066256E-2</v>
      </c>
      <c r="AA8" s="64">
        <v>0</v>
      </c>
      <c r="AB8" s="85" t="s">
        <v>57</v>
      </c>
      <c r="AC8" s="93">
        <v>0</v>
      </c>
      <c r="AD8" s="91">
        <v>0</v>
      </c>
      <c r="AE8" s="92">
        <v>0</v>
      </c>
      <c r="AG8" s="95" t="s">
        <v>160</v>
      </c>
      <c r="AH8" s="95" t="s">
        <v>953</v>
      </c>
      <c r="AI8" s="96" t="s">
        <v>954</v>
      </c>
      <c r="AJ8" s="96" t="s">
        <v>955</v>
      </c>
      <c r="AK8" s="96" t="s">
        <v>956</v>
      </c>
    </row>
    <row r="9" spans="1:37" x14ac:dyDescent="0.5">
      <c r="A9" s="74" t="s">
        <v>847</v>
      </c>
      <c r="B9" s="146" t="s">
        <v>38</v>
      </c>
      <c r="C9" s="131" t="s">
        <v>890</v>
      </c>
      <c r="E9" s="84" cm="1">
        <f t="array" ref="E9">_xlfn.XLOOKUP($B$6,$W7:$W16,_xlfn.XLOOKUP($B$9,$X$6:$Z$6,$X$7:$Z$16))</f>
        <v>-5.5399999999999998E-2</v>
      </c>
      <c r="F9" s="76" t="s">
        <v>852</v>
      </c>
      <c r="G9" s="85" t="s">
        <v>819</v>
      </c>
      <c r="H9" s="86">
        <v>0.26100000000000001</v>
      </c>
      <c r="I9" s="87">
        <v>-0.14812431515783983</v>
      </c>
      <c r="J9" s="88">
        <v>-9.7226715366553335E-3</v>
      </c>
      <c r="K9" s="89">
        <v>0.22824849986955392</v>
      </c>
      <c r="L9" s="85" t="s">
        <v>819</v>
      </c>
      <c r="M9" s="87">
        <v>-2.3266266631881038E-2</v>
      </c>
      <c r="N9" s="88">
        <v>3.498784242108012E-2</v>
      </c>
      <c r="O9" s="88">
        <v>3.3843986433602937E-3</v>
      </c>
      <c r="P9" s="88">
        <v>-2.1497417166710154E-2</v>
      </c>
      <c r="Q9" s="89">
        <v>-2.1497417166710154E-2</v>
      </c>
      <c r="R9" s="85" t="s">
        <v>819</v>
      </c>
      <c r="S9" s="87">
        <v>9.4895303939473041E-2</v>
      </c>
      <c r="T9" s="88">
        <v>-4.7576937124967397E-2</v>
      </c>
      <c r="U9" s="88">
        <v>-3.319102530654839E-2</v>
      </c>
      <c r="V9" s="89">
        <v>-3.319102530654839E-2</v>
      </c>
      <c r="W9" s="90" t="s">
        <v>819</v>
      </c>
      <c r="X9" s="91">
        <v>3.2828280720062594E-2</v>
      </c>
      <c r="Y9" s="91">
        <v>-3.9625150013044563E-2</v>
      </c>
      <c r="Z9" s="92">
        <v>1.3733263762066256E-2</v>
      </c>
      <c r="AA9" s="64">
        <v>0</v>
      </c>
      <c r="AB9" s="85" t="s">
        <v>819</v>
      </c>
      <c r="AC9" s="93">
        <v>0</v>
      </c>
      <c r="AD9" s="91">
        <v>0</v>
      </c>
      <c r="AE9" s="92">
        <v>0</v>
      </c>
      <c r="AF9" s="97"/>
      <c r="AG9" s="98" t="str">
        <f>B6</f>
        <v>Group IPC</v>
      </c>
      <c r="AH9" s="167">
        <f>AH3</f>
        <v>300000</v>
      </c>
      <c r="AI9" s="168">
        <f>ROUND(AH9*AH4,0)</f>
        <v>2844000</v>
      </c>
      <c r="AJ9" s="169">
        <f>ROUND(AH3*AH5,0)</f>
        <v>1938000</v>
      </c>
      <c r="AK9" s="169">
        <f>ROUND(AH9*AH6,0)</f>
        <v>4605000</v>
      </c>
    </row>
    <row r="10" spans="1:37" x14ac:dyDescent="0.5">
      <c r="A10" s="74" t="s">
        <v>860</v>
      </c>
      <c r="B10" s="146" t="s">
        <v>859</v>
      </c>
      <c r="C10" s="131" t="s">
        <v>891</v>
      </c>
      <c r="E10" s="84" cm="1">
        <f t="array" ref="E10">_xlfn.XLOOKUP($B$6,$AB7:$AB16,_xlfn.XLOOKUP($B$10,$AC$6:$AE$6,$AC$7:$AE$16))</f>
        <v>-4.0000000000000002E-4</v>
      </c>
      <c r="F10" s="76" t="s">
        <v>861</v>
      </c>
      <c r="G10" s="85" t="s">
        <v>29</v>
      </c>
      <c r="H10" s="86">
        <v>0.37550651326437307</v>
      </c>
      <c r="I10" s="87">
        <v>-0.14812431515783983</v>
      </c>
      <c r="J10" s="88">
        <v>-9.7226715366553335E-3</v>
      </c>
      <c r="K10" s="89">
        <v>0.22824849986955392</v>
      </c>
      <c r="L10" s="85" t="s">
        <v>29</v>
      </c>
      <c r="M10" s="87">
        <v>-2.3266266631881038E-2</v>
      </c>
      <c r="N10" s="88">
        <v>3.498784242108012E-2</v>
      </c>
      <c r="O10" s="88">
        <v>3.3843986433602937E-3</v>
      </c>
      <c r="P10" s="88">
        <v>-2.1497417166710154E-2</v>
      </c>
      <c r="Q10" s="89">
        <v>-2.1497417166710154E-2</v>
      </c>
      <c r="R10" s="85" t="s">
        <v>29</v>
      </c>
      <c r="S10" s="87">
        <v>9.4895303939473041E-2</v>
      </c>
      <c r="T10" s="88">
        <v>-4.7576937124967397E-2</v>
      </c>
      <c r="U10" s="88">
        <v>-3.319102530654839E-2</v>
      </c>
      <c r="V10" s="89">
        <v>-3.319102530654839E-2</v>
      </c>
      <c r="W10" s="90" t="s">
        <v>29</v>
      </c>
      <c r="X10" s="91">
        <v>3.2828280720062594E-2</v>
      </c>
      <c r="Y10" s="91">
        <v>-3.9625150013044563E-2</v>
      </c>
      <c r="Z10" s="92">
        <v>1.3733263762066256E-2</v>
      </c>
      <c r="AA10" s="64">
        <v>0</v>
      </c>
      <c r="AB10" s="85" t="s">
        <v>29</v>
      </c>
      <c r="AC10" s="93">
        <v>0</v>
      </c>
      <c r="AD10" s="91">
        <v>0</v>
      </c>
      <c r="AE10" s="92">
        <v>0</v>
      </c>
      <c r="AG10" s="102"/>
      <c r="AH10" s="103"/>
      <c r="AI10" s="104"/>
    </row>
    <row r="11" spans="1:37" ht="18.5" x14ac:dyDescent="0.55000000000000004">
      <c r="A11" s="105"/>
      <c r="B11" s="106" t="str">
        <f>_xlfn.XLOOKUP(B5,'country list'!$A$2:$A$140,'country list'!$C$2:$C$140)</f>
        <v>Sub-saharan Africa</v>
      </c>
      <c r="E11" s="84" cm="1">
        <f t="array" ref="E11">_xlfn.XLOOKUP($B$6,$R$7:$R$16,_xlfn.XLOOKUP($B$11,$S$6:$V$6,$S$7:$V$16))</f>
        <v>0</v>
      </c>
      <c r="F11" s="76" t="s">
        <v>853</v>
      </c>
      <c r="G11" s="85" t="s">
        <v>200</v>
      </c>
      <c r="H11" s="86">
        <v>0.44373499999999999</v>
      </c>
      <c r="I11" s="87">
        <v>-0.14812431515783983</v>
      </c>
      <c r="J11" s="88">
        <v>-9.7226715366553335E-3</v>
      </c>
      <c r="K11" s="89">
        <v>0.22824849986955392</v>
      </c>
      <c r="L11" s="85" t="s">
        <v>200</v>
      </c>
      <c r="M11" s="87">
        <v>-2.3266266631881038E-2</v>
      </c>
      <c r="N11" s="88">
        <v>3.498784242108012E-2</v>
      </c>
      <c r="O11" s="88">
        <v>3.3843986433602937E-3</v>
      </c>
      <c r="P11" s="88">
        <v>-2.1497417166710154E-2</v>
      </c>
      <c r="Q11" s="89">
        <v>-2.1497417166710154E-2</v>
      </c>
      <c r="R11" s="85" t="s">
        <v>200</v>
      </c>
      <c r="S11" s="87">
        <v>9.4895303939473041E-2</v>
      </c>
      <c r="T11" s="88">
        <v>-4.7576937124967397E-2</v>
      </c>
      <c r="U11" s="88">
        <v>-3.319102530654839E-2</v>
      </c>
      <c r="V11" s="89">
        <v>-3.319102530654839E-2</v>
      </c>
      <c r="W11" s="90" t="s">
        <v>200</v>
      </c>
      <c r="X11" s="91">
        <v>3.2828280720062594E-2</v>
      </c>
      <c r="Y11" s="91">
        <v>-3.9625150013044563E-2</v>
      </c>
      <c r="Z11" s="92">
        <v>1.3733263762066256E-2</v>
      </c>
      <c r="AA11" s="64">
        <v>0</v>
      </c>
      <c r="AB11" s="85" t="s">
        <v>200</v>
      </c>
      <c r="AC11" s="93">
        <v>0</v>
      </c>
      <c r="AD11" s="91">
        <v>0</v>
      </c>
      <c r="AE11" s="92">
        <v>0</v>
      </c>
      <c r="AG11" s="107" t="s">
        <v>939</v>
      </c>
      <c r="AH11" s="103"/>
      <c r="AI11" s="104"/>
    </row>
    <row r="12" spans="1:37" ht="19" thickBot="1" x14ac:dyDescent="0.6">
      <c r="A12" s="69" t="s">
        <v>882</v>
      </c>
      <c r="B12" s="59"/>
      <c r="E12" s="84">
        <f>(_xlfn.XLOOKUP(B6,W7:W16,AA7:AA16))*((E5-7.52)/7.52)</f>
        <v>-2.8402022880237359E-3</v>
      </c>
      <c r="F12" s="76" t="s">
        <v>849</v>
      </c>
      <c r="G12" s="85" t="s">
        <v>573</v>
      </c>
      <c r="H12" s="86">
        <v>0.92586123077810556</v>
      </c>
      <c r="I12" s="87">
        <v>-0.14812431515783983</v>
      </c>
      <c r="J12" s="88">
        <v>-9.7226715366553335E-3</v>
      </c>
      <c r="K12" s="89">
        <v>0.22824849986955392</v>
      </c>
      <c r="L12" s="85" t="s">
        <v>573</v>
      </c>
      <c r="M12" s="87">
        <v>-2.3266266631881038E-2</v>
      </c>
      <c r="N12" s="88">
        <v>3.498784242108012E-2</v>
      </c>
      <c r="O12" s="88">
        <v>3.3843986433602937E-3</v>
      </c>
      <c r="P12" s="88">
        <v>-2.1497417166710154E-2</v>
      </c>
      <c r="Q12" s="89">
        <v>-2.1497417166710154E-2</v>
      </c>
      <c r="R12" s="85" t="s">
        <v>573</v>
      </c>
      <c r="S12" s="87">
        <v>9.4895303939473041E-2</v>
      </c>
      <c r="T12" s="88">
        <v>-4.7576937124967397E-2</v>
      </c>
      <c r="U12" s="88">
        <v>-3.319102530654839E-2</v>
      </c>
      <c r="V12" s="89">
        <v>-3.319102530654839E-2</v>
      </c>
      <c r="W12" s="90" t="s">
        <v>573</v>
      </c>
      <c r="X12" s="91">
        <v>3.2828280720062594E-2</v>
      </c>
      <c r="Y12" s="91">
        <v>-3.9625150013044563E-2</v>
      </c>
      <c r="Z12" s="92">
        <v>1.3733263762066256E-2</v>
      </c>
      <c r="AA12" s="64">
        <v>0</v>
      </c>
      <c r="AB12" s="85" t="s">
        <v>573</v>
      </c>
      <c r="AC12" s="93">
        <v>0</v>
      </c>
      <c r="AD12" s="91">
        <v>0</v>
      </c>
      <c r="AE12" s="92">
        <v>0</v>
      </c>
      <c r="AG12" s="95" t="s">
        <v>160</v>
      </c>
      <c r="AH12" s="95" t="s">
        <v>953</v>
      </c>
      <c r="AI12" s="96" t="s">
        <v>954</v>
      </c>
      <c r="AJ12" s="96" t="s">
        <v>955</v>
      </c>
      <c r="AK12" s="96" t="s">
        <v>956</v>
      </c>
    </row>
    <row r="13" spans="1:37" x14ac:dyDescent="0.5">
      <c r="A13" s="74" t="s">
        <v>880</v>
      </c>
      <c r="B13" s="108">
        <f>$E$6+($E$6*$E$7)+($E$6*$E$8)+($E$6*$E$9)+ ($E$6*$E$10)+($E$6*$E$11)+($E$6*$E$12)</f>
        <v>9.4849003336769719</v>
      </c>
      <c r="C13" s="51" t="str">
        <f>_xlfn.XLOOKUP(B6,G19:G28,M19:M28)</f>
        <v>per person participating</v>
      </c>
      <c r="E13" s="64"/>
      <c r="F13" s="51"/>
      <c r="G13" s="85" t="s">
        <v>108</v>
      </c>
      <c r="H13" s="86">
        <v>6.4</v>
      </c>
      <c r="I13" s="87">
        <v>-0.23469999999999999</v>
      </c>
      <c r="J13" s="88">
        <v>2.6100000000000002E-2</v>
      </c>
      <c r="K13" s="89">
        <v>0.622</v>
      </c>
      <c r="L13" s="85" t="s">
        <v>108</v>
      </c>
      <c r="M13" s="87">
        <v>-4.82E-2</v>
      </c>
      <c r="N13" s="88">
        <v>4.3499999999999997E-2</v>
      </c>
      <c r="O13" s="88">
        <v>5.7999999999999996E-3</v>
      </c>
      <c r="P13" s="88">
        <v>1.5299999999999999E-2</v>
      </c>
      <c r="Q13" s="89">
        <v>1.5299999999999999E-2</v>
      </c>
      <c r="R13" s="85" t="s">
        <v>108</v>
      </c>
      <c r="S13" s="87">
        <v>0</v>
      </c>
      <c r="T13" s="88">
        <v>0</v>
      </c>
      <c r="U13" s="88">
        <v>0</v>
      </c>
      <c r="V13" s="89">
        <v>0</v>
      </c>
      <c r="W13" s="90" t="s">
        <v>108</v>
      </c>
      <c r="X13" s="91">
        <v>-5.5399999999999998E-2</v>
      </c>
      <c r="Y13" s="91">
        <v>2.5399999999999999E-2</v>
      </c>
      <c r="Z13" s="92">
        <v>4.7999999999999996E-3</v>
      </c>
      <c r="AA13" s="109">
        <v>4.0599999999999997E-2</v>
      </c>
      <c r="AB13" s="85" t="s">
        <v>108</v>
      </c>
      <c r="AC13" s="93">
        <v>-4.0000000000000002E-4</v>
      </c>
      <c r="AD13" s="91">
        <v>8.9999999999999998E-4</v>
      </c>
      <c r="AE13" s="92">
        <v>-5.0000000000000001E-3</v>
      </c>
      <c r="AG13" s="149"/>
      <c r="AH13" s="152"/>
      <c r="AI13" s="172"/>
      <c r="AJ13" s="150"/>
      <c r="AK13" s="173"/>
    </row>
    <row r="14" spans="1:37" ht="18.5" x14ac:dyDescent="0.55000000000000004">
      <c r="A14" s="110"/>
      <c r="B14" s="111"/>
      <c r="C14" s="59"/>
      <c r="D14" s="59"/>
      <c r="E14" s="64"/>
      <c r="F14" s="51"/>
      <c r="G14" s="85" t="s">
        <v>102</v>
      </c>
      <c r="H14" s="86">
        <v>6.26</v>
      </c>
      <c r="I14" s="87">
        <v>-0.23469999999999999</v>
      </c>
      <c r="J14" s="88">
        <v>2.6100000000000002E-2</v>
      </c>
      <c r="K14" s="89">
        <v>0.622</v>
      </c>
      <c r="L14" s="85" t="s">
        <v>102</v>
      </c>
      <c r="M14" s="87">
        <v>-4.82E-2</v>
      </c>
      <c r="N14" s="88">
        <v>4.3499999999999997E-2</v>
      </c>
      <c r="O14" s="88">
        <v>5.7999999999999996E-3</v>
      </c>
      <c r="P14" s="88">
        <v>1.5299999999999999E-2</v>
      </c>
      <c r="Q14" s="89">
        <v>1.5299999999999999E-2</v>
      </c>
      <c r="R14" s="85" t="s">
        <v>102</v>
      </c>
      <c r="S14" s="87">
        <v>0</v>
      </c>
      <c r="T14" s="88">
        <v>0</v>
      </c>
      <c r="U14" s="88">
        <v>0</v>
      </c>
      <c r="V14" s="89">
        <v>0</v>
      </c>
      <c r="W14" s="90" t="s">
        <v>102</v>
      </c>
      <c r="X14" s="91">
        <v>-5.5399999999999998E-2</v>
      </c>
      <c r="Y14" s="91">
        <v>2.5399999999999999E-2</v>
      </c>
      <c r="Z14" s="92">
        <v>4.7999999999999996E-3</v>
      </c>
      <c r="AA14" s="109">
        <v>4.0599999999999997E-2</v>
      </c>
      <c r="AB14" s="85" t="s">
        <v>102</v>
      </c>
      <c r="AC14" s="93">
        <v>-4.0000000000000002E-4</v>
      </c>
      <c r="AD14" s="91">
        <v>8.9999999999999998E-4</v>
      </c>
      <c r="AE14" s="92">
        <v>-5.0000000000000001E-3</v>
      </c>
      <c r="AG14" s="154"/>
      <c r="AH14" s="157"/>
      <c r="AI14" s="174"/>
      <c r="AJ14" s="155"/>
      <c r="AK14" s="175"/>
    </row>
    <row r="15" spans="1:37" ht="18.5" x14ac:dyDescent="0.55000000000000004">
      <c r="A15" s="112" t="s">
        <v>881</v>
      </c>
      <c r="B15" s="113"/>
      <c r="C15" s="64"/>
      <c r="D15" s="64"/>
      <c r="F15" s="51"/>
      <c r="G15" s="85" t="s">
        <v>562</v>
      </c>
      <c r="H15" s="86">
        <v>6.5667114419095167</v>
      </c>
      <c r="I15" s="87">
        <v>-0.23469999999999999</v>
      </c>
      <c r="J15" s="88">
        <v>2.6100000000000002E-2</v>
      </c>
      <c r="K15" s="89">
        <v>0.622</v>
      </c>
      <c r="L15" s="85" t="s">
        <v>562</v>
      </c>
      <c r="M15" s="87">
        <v>-4.82E-2</v>
      </c>
      <c r="N15" s="88">
        <v>4.3499999999999997E-2</v>
      </c>
      <c r="O15" s="88">
        <v>5.7999999999999996E-3</v>
      </c>
      <c r="P15" s="88">
        <v>1.5299999999999999E-2</v>
      </c>
      <c r="Q15" s="89">
        <v>1.5299999999999999E-2</v>
      </c>
      <c r="R15" s="85" t="s">
        <v>562</v>
      </c>
      <c r="S15" s="87">
        <v>0</v>
      </c>
      <c r="T15" s="88">
        <v>0</v>
      </c>
      <c r="U15" s="88">
        <v>0</v>
      </c>
      <c r="V15" s="89">
        <v>0</v>
      </c>
      <c r="W15" s="90" t="s">
        <v>562</v>
      </c>
      <c r="X15" s="91">
        <v>-5.5399999999999998E-2</v>
      </c>
      <c r="Y15" s="91">
        <v>2.5399999999999999E-2</v>
      </c>
      <c r="Z15" s="92">
        <v>4.7999999999999996E-3</v>
      </c>
      <c r="AA15" s="109">
        <v>4.0599999999999997E-2</v>
      </c>
      <c r="AB15" s="85" t="s">
        <v>562</v>
      </c>
      <c r="AC15" s="93">
        <v>-4.0000000000000002E-4</v>
      </c>
      <c r="AD15" s="91">
        <v>8.9999999999999998E-4</v>
      </c>
      <c r="AE15" s="92">
        <v>-5.0000000000000001E-3</v>
      </c>
      <c r="AG15" s="184"/>
      <c r="AH15" s="176"/>
      <c r="AI15" s="177"/>
      <c r="AJ15" s="178"/>
      <c r="AK15" s="185"/>
    </row>
    <row r="16" spans="1:37" ht="17" thickBot="1" x14ac:dyDescent="0.55000000000000004">
      <c r="A16" s="51"/>
      <c r="F16" s="51"/>
      <c r="G16" s="85" t="s">
        <v>872</v>
      </c>
      <c r="H16" s="86">
        <v>125.72912541159806</v>
      </c>
      <c r="I16" s="114">
        <v>-0.23469999999999999</v>
      </c>
      <c r="J16" s="115">
        <v>2.6100000000000002E-2</v>
      </c>
      <c r="K16" s="116">
        <v>0.622</v>
      </c>
      <c r="L16" s="85" t="s">
        <v>872</v>
      </c>
      <c r="M16" s="114">
        <v>-4.82E-2</v>
      </c>
      <c r="N16" s="115">
        <v>4.3499999999999997E-2</v>
      </c>
      <c r="O16" s="115">
        <v>5.7999999999999996E-3</v>
      </c>
      <c r="P16" s="115">
        <v>1.5299999999999999E-2</v>
      </c>
      <c r="Q16" s="116">
        <v>1.5299999999999999E-2</v>
      </c>
      <c r="R16" s="85" t="s">
        <v>872</v>
      </c>
      <c r="S16" s="114">
        <v>0</v>
      </c>
      <c r="T16" s="115">
        <v>0</v>
      </c>
      <c r="U16" s="115">
        <v>0</v>
      </c>
      <c r="V16" s="116">
        <v>0</v>
      </c>
      <c r="W16" s="117" t="s">
        <v>872</v>
      </c>
      <c r="X16" s="118">
        <v>-5.5399999999999998E-2</v>
      </c>
      <c r="Y16" s="118">
        <v>2.5399999999999999E-2</v>
      </c>
      <c r="Z16" s="119">
        <v>4.7999999999999996E-3</v>
      </c>
      <c r="AA16" s="109">
        <v>4.0599999999999997E-2</v>
      </c>
      <c r="AB16" s="85" t="s">
        <v>872</v>
      </c>
      <c r="AC16" s="120">
        <v>-4.0000000000000002E-4</v>
      </c>
      <c r="AD16" s="118">
        <v>8.9999999999999998E-4</v>
      </c>
      <c r="AE16" s="119">
        <v>-5.0000000000000001E-3</v>
      </c>
      <c r="AG16" s="154"/>
      <c r="AH16" s="157"/>
      <c r="AI16" s="174"/>
      <c r="AJ16" s="155"/>
      <c r="AK16" s="175"/>
    </row>
    <row r="17" spans="1:37" ht="18.5" x14ac:dyDescent="0.55000000000000004">
      <c r="A17" s="121"/>
      <c r="B17" s="111"/>
      <c r="C17" s="122"/>
      <c r="D17" s="122"/>
      <c r="E17" s="123"/>
      <c r="F17" s="51"/>
      <c r="AB17" s="85"/>
      <c r="AC17" s="88"/>
      <c r="AD17" s="88"/>
      <c r="AE17" s="88"/>
      <c r="AG17" s="154"/>
      <c r="AH17" s="157"/>
      <c r="AI17" s="174"/>
      <c r="AJ17" s="155"/>
      <c r="AK17" s="175"/>
    </row>
    <row r="18" spans="1:37" ht="18.5" x14ac:dyDescent="0.55000000000000004">
      <c r="A18" s="121"/>
      <c r="B18" s="111"/>
      <c r="C18" s="122"/>
      <c r="D18" s="122"/>
      <c r="E18" s="123"/>
      <c r="F18" s="51"/>
      <c r="H18" s="64" t="s">
        <v>863</v>
      </c>
      <c r="I18" s="64" t="s">
        <v>817</v>
      </c>
      <c r="J18" s="64" t="s">
        <v>844</v>
      </c>
      <c r="K18" s="64" t="s">
        <v>818</v>
      </c>
      <c r="L18" s="64" t="s">
        <v>845</v>
      </c>
      <c r="AG18" s="154"/>
      <c r="AH18" s="157"/>
      <c r="AI18" s="174"/>
      <c r="AJ18" s="155"/>
      <c r="AK18" s="175"/>
    </row>
    <row r="19" spans="1:37" ht="18.5" x14ac:dyDescent="0.55000000000000004">
      <c r="A19" s="105"/>
      <c r="B19" s="111"/>
      <c r="C19" s="64"/>
      <c r="D19" s="64"/>
      <c r="F19" s="51"/>
      <c r="G19" s="64" t="s">
        <v>16</v>
      </c>
      <c r="H19" s="64">
        <v>0.74999999999999989</v>
      </c>
      <c r="I19" s="64">
        <v>0.89285714285714279</v>
      </c>
      <c r="J19" s="64">
        <v>1</v>
      </c>
      <c r="K19" s="64">
        <v>1.1785714285714286</v>
      </c>
      <c r="L19" s="64">
        <v>1.3928571428571428</v>
      </c>
      <c r="M19" s="64" t="s">
        <v>17</v>
      </c>
      <c r="AG19" s="154"/>
      <c r="AH19" s="157"/>
      <c r="AI19" s="174"/>
      <c r="AJ19" s="155"/>
      <c r="AK19" s="175"/>
    </row>
    <row r="20" spans="1:37" ht="18.5" x14ac:dyDescent="0.55000000000000004">
      <c r="A20" s="105"/>
      <c r="B20" s="59"/>
      <c r="F20" s="51"/>
      <c r="G20" s="64" t="s">
        <v>57</v>
      </c>
      <c r="H20" s="64">
        <v>0.75</v>
      </c>
      <c r="I20" s="64">
        <v>0.83333333333333337</v>
      </c>
      <c r="J20" s="64">
        <v>1</v>
      </c>
      <c r="K20" s="64">
        <v>1.1666666666666667</v>
      </c>
      <c r="L20" s="64">
        <v>1.3333333333333335</v>
      </c>
      <c r="M20" s="64" t="s">
        <v>17</v>
      </c>
      <c r="AG20" s="159"/>
      <c r="AH20" s="157"/>
      <c r="AI20" s="174"/>
      <c r="AJ20" s="155"/>
      <c r="AK20" s="175"/>
    </row>
    <row r="21" spans="1:37" x14ac:dyDescent="0.5">
      <c r="A21" s="124" t="s">
        <v>854</v>
      </c>
      <c r="B21" s="94">
        <f>(_xlfn.XLOOKUP($B$6,$G$19:$G$28,$H$19:$H$28))*$B$13</f>
        <v>6.4643243812598437</v>
      </c>
      <c r="C21" s="94"/>
      <c r="D21" s="94"/>
      <c r="F21" s="51"/>
      <c r="G21" s="64" t="s">
        <v>819</v>
      </c>
      <c r="H21" s="64">
        <v>0.73076923076923073</v>
      </c>
      <c r="I21" s="64">
        <v>0.88461538461538458</v>
      </c>
      <c r="J21" s="64">
        <v>1</v>
      </c>
      <c r="K21" s="64">
        <v>1.1923076923076923</v>
      </c>
      <c r="L21" s="64">
        <v>1.3846153846153846</v>
      </c>
      <c r="M21" s="64" t="s">
        <v>17</v>
      </c>
      <c r="AG21" s="160"/>
      <c r="AH21" s="157"/>
      <c r="AI21" s="174"/>
      <c r="AJ21" s="155"/>
      <c r="AK21" s="175"/>
    </row>
    <row r="22" spans="1:37" x14ac:dyDescent="0.5">
      <c r="A22" s="124" t="s">
        <v>855</v>
      </c>
      <c r="B22" s="94">
        <f>(_xlfn.XLOOKUP($B$6,$G$19:$G$28,$I$19:$I$28))*$B$13</f>
        <v>7.2377085623135047</v>
      </c>
      <c r="C22" s="94"/>
      <c r="D22" s="94"/>
      <c r="F22" s="51"/>
      <c r="G22" s="64" t="s">
        <v>29</v>
      </c>
      <c r="H22" s="64">
        <v>0.7567567567567568</v>
      </c>
      <c r="I22" s="64">
        <v>0.891891891891892</v>
      </c>
      <c r="J22" s="64">
        <v>1</v>
      </c>
      <c r="K22" s="64">
        <v>1.2162162162162162</v>
      </c>
      <c r="L22" s="64">
        <v>1.4054054054054055</v>
      </c>
      <c r="M22" s="64" t="s">
        <v>17</v>
      </c>
      <c r="AG22" s="160"/>
      <c r="AH22" s="157"/>
      <c r="AI22" s="174"/>
      <c r="AJ22" s="155"/>
      <c r="AK22" s="175"/>
    </row>
    <row r="23" spans="1:37" ht="17" thickBot="1" x14ac:dyDescent="0.55000000000000004">
      <c r="A23" s="124" t="s">
        <v>856</v>
      </c>
      <c r="B23" s="94">
        <f>B13</f>
        <v>9.4849003336769719</v>
      </c>
      <c r="C23" s="94"/>
      <c r="D23" s="94"/>
      <c r="F23" s="51"/>
      <c r="G23" s="64" t="s">
        <v>200</v>
      </c>
      <c r="H23" s="64">
        <v>0.75</v>
      </c>
      <c r="I23" s="64">
        <v>0.88636363636363635</v>
      </c>
      <c r="J23" s="64">
        <v>1</v>
      </c>
      <c r="K23" s="64">
        <v>1.2045454545454546</v>
      </c>
      <c r="L23" s="64">
        <v>1.4090909090909092</v>
      </c>
      <c r="M23" s="64" t="s">
        <v>17</v>
      </c>
      <c r="AG23" s="186"/>
      <c r="AH23" s="187"/>
      <c r="AI23" s="188"/>
      <c r="AJ23" s="189"/>
      <c r="AK23" s="190"/>
    </row>
    <row r="24" spans="1:37" ht="17" thickBot="1" x14ac:dyDescent="0.55000000000000004">
      <c r="A24" s="124" t="s">
        <v>857</v>
      </c>
      <c r="B24" s="94">
        <f>(_xlfn.XLOOKUP($B$6,$G$19:$G$28,$K$19:$K$28))*$B$13</f>
        <v>14.446232815908004</v>
      </c>
      <c r="C24" s="94"/>
      <c r="D24" s="94"/>
      <c r="F24" s="51"/>
      <c r="G24" s="64" t="s">
        <v>573</v>
      </c>
      <c r="H24" s="64">
        <v>0.75</v>
      </c>
      <c r="I24" s="64">
        <v>0.89130434782608692</v>
      </c>
      <c r="J24" s="64">
        <v>1</v>
      </c>
      <c r="K24" s="64">
        <v>1.1847826086956521</v>
      </c>
      <c r="L24" s="64">
        <v>1.4021739130434783</v>
      </c>
      <c r="M24" s="64" t="s">
        <v>865</v>
      </c>
      <c r="AG24" s="179" t="s">
        <v>878</v>
      </c>
      <c r="AH24" s="180">
        <f>SUM(AH12:AH23)</f>
        <v>0</v>
      </c>
      <c r="AI24" s="181">
        <f t="shared" ref="AI24:AJ24" si="0">SUM(AI12:AI23)</f>
        <v>0</v>
      </c>
      <c r="AJ24" s="182">
        <f t="shared" si="0"/>
        <v>0</v>
      </c>
      <c r="AK24" s="183">
        <f>SUM(AK12:AK23)</f>
        <v>0</v>
      </c>
    </row>
    <row r="25" spans="1:37" x14ac:dyDescent="0.5">
      <c r="A25" s="124" t="s">
        <v>858</v>
      </c>
      <c r="B25" s="94">
        <f>(_xlfn.XLOOKUP($B$6,$G$19:$G$28,$L$19:$L$28))*$B$13</f>
        <v>15.35094638619719</v>
      </c>
      <c r="C25" s="94"/>
      <c r="D25" s="94"/>
      <c r="F25" s="51"/>
      <c r="G25" s="85" t="s">
        <v>108</v>
      </c>
      <c r="H25" s="64">
        <v>0.68120300751879703</v>
      </c>
      <c r="I25" s="64">
        <v>0.76541353383458643</v>
      </c>
      <c r="J25" s="64">
        <v>1</v>
      </c>
      <c r="K25" s="64">
        <v>1.524812030075188</v>
      </c>
      <c r="L25" s="64">
        <v>1.6180451127819548</v>
      </c>
      <c r="M25" s="64" t="s">
        <v>103</v>
      </c>
    </row>
    <row r="26" spans="1:37" x14ac:dyDescent="0.5">
      <c r="F26" s="51"/>
      <c r="G26" s="85" t="s">
        <v>102</v>
      </c>
      <c r="H26" s="64">
        <v>0.68153846153846154</v>
      </c>
      <c r="I26" s="64">
        <v>0.7630769230769231</v>
      </c>
      <c r="J26" s="64">
        <v>1</v>
      </c>
      <c r="K26" s="64">
        <v>1.5230769230769232</v>
      </c>
      <c r="L26" s="64">
        <v>1.6184615384615384</v>
      </c>
      <c r="M26" s="64" t="s">
        <v>103</v>
      </c>
    </row>
    <row r="27" spans="1:37" ht="55.5" x14ac:dyDescent="0.55000000000000004">
      <c r="A27" s="124" t="s">
        <v>862</v>
      </c>
      <c r="B27" s="125" t="str">
        <f>B5&amp;" / "&amp;B6&amp;" / "&amp;B7&amp;" Intensity / "&amp;B8&amp;" / "&amp;B9&amp;" Ownership"</f>
        <v>Zimbabwe / Group IPC / High Intensity / FP/RH / NGO Ownership</v>
      </c>
      <c r="F27" s="51"/>
      <c r="G27" s="85" t="s">
        <v>562</v>
      </c>
      <c r="H27" s="64">
        <v>0.68081991215226945</v>
      </c>
      <c r="I27" s="64">
        <v>0.75988286969253305</v>
      </c>
      <c r="J27" s="64">
        <v>1</v>
      </c>
      <c r="K27" s="64">
        <v>1.5197657393850661</v>
      </c>
      <c r="L27" s="64">
        <v>1.6163982430453878</v>
      </c>
      <c r="M27" s="64" t="s">
        <v>103</v>
      </c>
    </row>
    <row r="28" spans="1:37" x14ac:dyDescent="0.5">
      <c r="F28" s="51"/>
      <c r="G28" s="85" t="s">
        <v>872</v>
      </c>
      <c r="H28" s="64">
        <v>0.68120300751879703</v>
      </c>
      <c r="I28" s="64">
        <v>0.76541353383458643</v>
      </c>
      <c r="J28" s="64">
        <v>1</v>
      </c>
      <c r="K28" s="64">
        <v>1.524812030075188</v>
      </c>
      <c r="L28" s="64">
        <v>1.6180451127819548</v>
      </c>
      <c r="M28" s="64" t="s">
        <v>866</v>
      </c>
      <c r="AG28" s="126"/>
    </row>
    <row r="29" spans="1:37" x14ac:dyDescent="0.5">
      <c r="F29" s="51"/>
      <c r="AG29" s="126"/>
    </row>
    <row r="30" spans="1:37" x14ac:dyDescent="0.5">
      <c r="F30" s="51"/>
    </row>
    <row r="31" spans="1:37" x14ac:dyDescent="0.5">
      <c r="F31" s="51"/>
    </row>
    <row r="32" spans="1:37" x14ac:dyDescent="0.5">
      <c r="F32" s="51"/>
    </row>
    <row r="33" spans="1:6" x14ac:dyDescent="0.5">
      <c r="A33" s="143"/>
      <c r="B33" s="123"/>
      <c r="C33" s="144"/>
      <c r="D33" s="123"/>
      <c r="F33" s="51"/>
    </row>
    <row r="34" spans="1:6" x14ac:dyDescent="0.5">
      <c r="F34" s="51"/>
    </row>
    <row r="35" spans="1:6" x14ac:dyDescent="0.5">
      <c r="F35" s="51"/>
    </row>
    <row r="36" spans="1:6" x14ac:dyDescent="0.5">
      <c r="F36" s="51"/>
    </row>
    <row r="37" spans="1:6" x14ac:dyDescent="0.5">
      <c r="F37" s="51"/>
    </row>
    <row r="38" spans="1:6" x14ac:dyDescent="0.5">
      <c r="F38" s="51"/>
    </row>
    <row r="39" spans="1:6" x14ac:dyDescent="0.5">
      <c r="F39" s="51"/>
    </row>
    <row r="40" spans="1:6" x14ac:dyDescent="0.5">
      <c r="F40" s="51"/>
    </row>
    <row r="41" spans="1:6" x14ac:dyDescent="0.5">
      <c r="F41" s="51"/>
    </row>
    <row r="42" spans="1:6" x14ac:dyDescent="0.5">
      <c r="F42" s="51"/>
    </row>
    <row r="43" spans="1:6" x14ac:dyDescent="0.5">
      <c r="F43" s="51"/>
    </row>
    <row r="44" spans="1:6" x14ac:dyDescent="0.5">
      <c r="F44" s="51"/>
    </row>
    <row r="45" spans="1:6" x14ac:dyDescent="0.5">
      <c r="F45" s="51"/>
    </row>
    <row r="46" spans="1:6" x14ac:dyDescent="0.5">
      <c r="F46" s="51"/>
    </row>
    <row r="47" spans="1:6" x14ac:dyDescent="0.5">
      <c r="F47" s="51"/>
    </row>
    <row r="48" spans="1:6" x14ac:dyDescent="0.5">
      <c r="F48" s="51"/>
    </row>
    <row r="49" spans="6:6" x14ac:dyDescent="0.5">
      <c r="F49" s="51"/>
    </row>
    <row r="50" spans="6:6" x14ac:dyDescent="0.5">
      <c r="F50" s="51"/>
    </row>
    <row r="51" spans="6:6" x14ac:dyDescent="0.5">
      <c r="F51" s="51"/>
    </row>
    <row r="52" spans="6:6" x14ac:dyDescent="0.5">
      <c r="F52" s="51"/>
    </row>
    <row r="53" spans="6:6" x14ac:dyDescent="0.5">
      <c r="F53" s="51"/>
    </row>
    <row r="54" spans="6:6" x14ac:dyDescent="0.5">
      <c r="F54" s="51"/>
    </row>
    <row r="55" spans="6:6" x14ac:dyDescent="0.5">
      <c r="F55" s="51"/>
    </row>
    <row r="56" spans="6:6" x14ac:dyDescent="0.5">
      <c r="F56" s="51"/>
    </row>
    <row r="57" spans="6:6" x14ac:dyDescent="0.5">
      <c r="F57" s="51"/>
    </row>
    <row r="58" spans="6:6" x14ac:dyDescent="0.5">
      <c r="F58" s="51"/>
    </row>
    <row r="59" spans="6:6" x14ac:dyDescent="0.5">
      <c r="F59" s="51"/>
    </row>
    <row r="60" spans="6:6" x14ac:dyDescent="0.5">
      <c r="F60" s="51"/>
    </row>
    <row r="61" spans="6:6" x14ac:dyDescent="0.5">
      <c r="F61" s="51"/>
    </row>
    <row r="62" spans="6:6" x14ac:dyDescent="0.5">
      <c r="F62" s="51"/>
    </row>
    <row r="63" spans="6:6" x14ac:dyDescent="0.5">
      <c r="F63" s="51"/>
    </row>
    <row r="64" spans="6:6" x14ac:dyDescent="0.5">
      <c r="F64" s="51"/>
    </row>
    <row r="65" spans="6:6" x14ac:dyDescent="0.5">
      <c r="F65" s="51"/>
    </row>
    <row r="66" spans="6:6" x14ac:dyDescent="0.5">
      <c r="F66" s="51"/>
    </row>
    <row r="67" spans="6:6" x14ac:dyDescent="0.5">
      <c r="F67" s="51"/>
    </row>
    <row r="68" spans="6:6" x14ac:dyDescent="0.5">
      <c r="F68" s="51"/>
    </row>
    <row r="69" spans="6:6" x14ac:dyDescent="0.5">
      <c r="F69" s="51"/>
    </row>
    <row r="70" spans="6:6" x14ac:dyDescent="0.5">
      <c r="F70" s="51"/>
    </row>
    <row r="71" spans="6:6" x14ac:dyDescent="0.5">
      <c r="F71" s="51"/>
    </row>
    <row r="72" spans="6:6" x14ac:dyDescent="0.5">
      <c r="F72" s="51"/>
    </row>
    <row r="73" spans="6:6" x14ac:dyDescent="0.5">
      <c r="F73" s="51"/>
    </row>
    <row r="74" spans="6:6" x14ac:dyDescent="0.5">
      <c r="F74" s="51"/>
    </row>
    <row r="75" spans="6:6" x14ac:dyDescent="0.5">
      <c r="F75" s="51"/>
    </row>
    <row r="76" spans="6:6" x14ac:dyDescent="0.5">
      <c r="F76" s="51"/>
    </row>
    <row r="77" spans="6:6" x14ac:dyDescent="0.5">
      <c r="F77" s="51"/>
    </row>
    <row r="78" spans="6:6" x14ac:dyDescent="0.5">
      <c r="F78" s="51"/>
    </row>
    <row r="79" spans="6:6" x14ac:dyDescent="0.5">
      <c r="F79" s="51"/>
    </row>
    <row r="80" spans="6:6" x14ac:dyDescent="0.5">
      <c r="F80" s="51"/>
    </row>
    <row r="81" spans="6:6" x14ac:dyDescent="0.5">
      <c r="F81" s="51"/>
    </row>
    <row r="82" spans="6:6" x14ac:dyDescent="0.5">
      <c r="F82" s="51"/>
    </row>
    <row r="83" spans="6:6" x14ac:dyDescent="0.5">
      <c r="F83" s="51"/>
    </row>
    <row r="84" spans="6:6" x14ac:dyDescent="0.5">
      <c r="F84" s="51"/>
    </row>
    <row r="85" spans="6:6" x14ac:dyDescent="0.5">
      <c r="F85" s="51"/>
    </row>
    <row r="86" spans="6:6" x14ac:dyDescent="0.5">
      <c r="F86" s="51"/>
    </row>
    <row r="87" spans="6:6" x14ac:dyDescent="0.5">
      <c r="F87" s="51"/>
    </row>
    <row r="88" spans="6:6" x14ac:dyDescent="0.5">
      <c r="F88" s="51"/>
    </row>
    <row r="89" spans="6:6" x14ac:dyDescent="0.5">
      <c r="F89" s="51"/>
    </row>
    <row r="90" spans="6:6" x14ac:dyDescent="0.5">
      <c r="F90" s="51"/>
    </row>
    <row r="91" spans="6:6" x14ac:dyDescent="0.5">
      <c r="F91" s="51"/>
    </row>
    <row r="92" spans="6:6" x14ac:dyDescent="0.5">
      <c r="F92" s="51"/>
    </row>
    <row r="93" spans="6:6" x14ac:dyDescent="0.5">
      <c r="F93" s="51"/>
    </row>
    <row r="94" spans="6:6" x14ac:dyDescent="0.5">
      <c r="F94" s="51"/>
    </row>
    <row r="95" spans="6:6" x14ac:dyDescent="0.5">
      <c r="F95" s="51"/>
    </row>
    <row r="96" spans="6:6" x14ac:dyDescent="0.5">
      <c r="F96" s="51"/>
    </row>
    <row r="97" spans="6:6" x14ac:dyDescent="0.5">
      <c r="F97" s="51"/>
    </row>
    <row r="98" spans="6:6" x14ac:dyDescent="0.5">
      <c r="F98" s="51"/>
    </row>
    <row r="99" spans="6:6" x14ac:dyDescent="0.5">
      <c r="F99" s="51"/>
    </row>
    <row r="100" spans="6:6" x14ac:dyDescent="0.5">
      <c r="F100" s="51"/>
    </row>
    <row r="101" spans="6:6" x14ac:dyDescent="0.5">
      <c r="F101" s="51"/>
    </row>
    <row r="102" spans="6:6" x14ac:dyDescent="0.5">
      <c r="F102" s="51"/>
    </row>
    <row r="103" spans="6:6" x14ac:dyDescent="0.5">
      <c r="F103" s="51"/>
    </row>
    <row r="104" spans="6:6" x14ac:dyDescent="0.5">
      <c r="F104" s="51"/>
    </row>
    <row r="105" spans="6:6" x14ac:dyDescent="0.5">
      <c r="F105" s="51"/>
    </row>
    <row r="106" spans="6:6" x14ac:dyDescent="0.5">
      <c r="F106" s="51"/>
    </row>
    <row r="107" spans="6:6" x14ac:dyDescent="0.5">
      <c r="F107" s="51"/>
    </row>
    <row r="108" spans="6:6" x14ac:dyDescent="0.5">
      <c r="F108" s="51"/>
    </row>
    <row r="109" spans="6:6" x14ac:dyDescent="0.5">
      <c r="F109" s="51"/>
    </row>
    <row r="110" spans="6:6" x14ac:dyDescent="0.5">
      <c r="F110" s="51"/>
    </row>
    <row r="111" spans="6:6" x14ac:dyDescent="0.5">
      <c r="F111" s="51"/>
    </row>
    <row r="112" spans="6:6" x14ac:dyDescent="0.5">
      <c r="F112" s="51"/>
    </row>
    <row r="113" spans="6:6" x14ac:dyDescent="0.5">
      <c r="F113" s="51"/>
    </row>
    <row r="114" spans="6:6" x14ac:dyDescent="0.5">
      <c r="F114" s="51"/>
    </row>
    <row r="115" spans="6:6" x14ac:dyDescent="0.5">
      <c r="F115" s="51"/>
    </row>
    <row r="116" spans="6:6" x14ac:dyDescent="0.5">
      <c r="F116" s="51"/>
    </row>
    <row r="117" spans="6:6" x14ac:dyDescent="0.5">
      <c r="F117" s="51"/>
    </row>
    <row r="118" spans="6:6" x14ac:dyDescent="0.5">
      <c r="F118" s="51"/>
    </row>
    <row r="119" spans="6:6" x14ac:dyDescent="0.5">
      <c r="F119" s="51"/>
    </row>
    <row r="120" spans="6:6" x14ac:dyDescent="0.5">
      <c r="F120" s="51"/>
    </row>
    <row r="121" spans="6:6" x14ac:dyDescent="0.5">
      <c r="F121" s="51"/>
    </row>
    <row r="122" spans="6:6" x14ac:dyDescent="0.5">
      <c r="F122" s="51"/>
    </row>
    <row r="123" spans="6:6" x14ac:dyDescent="0.5">
      <c r="F123" s="51"/>
    </row>
    <row r="124" spans="6:6" x14ac:dyDescent="0.5">
      <c r="F124" s="51"/>
    </row>
    <row r="125" spans="6:6" x14ac:dyDescent="0.5">
      <c r="F125" s="51"/>
    </row>
    <row r="126" spans="6:6" x14ac:dyDescent="0.5">
      <c r="F126" s="51"/>
    </row>
    <row r="127" spans="6:6" x14ac:dyDescent="0.5">
      <c r="F127" s="51"/>
    </row>
    <row r="128" spans="6:6" x14ac:dyDescent="0.5">
      <c r="F128" s="51"/>
    </row>
    <row r="129" spans="6:6" x14ac:dyDescent="0.5">
      <c r="F129" s="51"/>
    </row>
    <row r="130" spans="6:6" x14ac:dyDescent="0.5">
      <c r="F130" s="51"/>
    </row>
    <row r="131" spans="6:6" x14ac:dyDescent="0.5">
      <c r="F131" s="51"/>
    </row>
    <row r="132" spans="6:6" x14ac:dyDescent="0.5">
      <c r="F132" s="51"/>
    </row>
    <row r="133" spans="6:6" x14ac:dyDescent="0.5">
      <c r="F133" s="51"/>
    </row>
    <row r="134" spans="6:6" x14ac:dyDescent="0.5">
      <c r="F134" s="51"/>
    </row>
    <row r="135" spans="6:6" x14ac:dyDescent="0.5">
      <c r="F135" s="51"/>
    </row>
    <row r="136" spans="6:6" x14ac:dyDescent="0.5">
      <c r="F136" s="51"/>
    </row>
    <row r="137" spans="6:6" x14ac:dyDescent="0.5">
      <c r="F137" s="51"/>
    </row>
    <row r="138" spans="6:6" x14ac:dyDescent="0.5">
      <c r="F138" s="51"/>
    </row>
    <row r="139" spans="6:6" x14ac:dyDescent="0.5">
      <c r="F139" s="51"/>
    </row>
    <row r="140" spans="6:6" x14ac:dyDescent="0.5">
      <c r="F140" s="51"/>
    </row>
    <row r="141" spans="6:6" x14ac:dyDescent="0.5">
      <c r="F141" s="51"/>
    </row>
    <row r="142" spans="6:6" x14ac:dyDescent="0.5">
      <c r="F142" s="51"/>
    </row>
    <row r="143" spans="6:6" x14ac:dyDescent="0.5">
      <c r="F143" s="51"/>
    </row>
    <row r="144" spans="6:6" x14ac:dyDescent="0.5">
      <c r="F144" s="51"/>
    </row>
    <row r="145" spans="6:6" x14ac:dyDescent="0.5">
      <c r="F145" s="51"/>
    </row>
    <row r="146" spans="6:6" x14ac:dyDescent="0.5">
      <c r="F146" s="51"/>
    </row>
    <row r="147" spans="6:6" x14ac:dyDescent="0.5">
      <c r="F147" s="51"/>
    </row>
    <row r="148" spans="6:6" x14ac:dyDescent="0.5">
      <c r="F148" s="51"/>
    </row>
  </sheetData>
  <sheetProtection algorithmName="SHA-512" hashValue="ZFrkduhuJxEJKPN2s/vnhGBp/yOIxuuXkkxzW/3mtJZG/hc5FkCa6UNa6MXoKV+hv1n+frFzparQB2H50KnjBA==" saltValue="hh++Co5m38xfPm09+vZLhg==" spinCount="100000" sheet="1" objects="1" scenarios="1"/>
  <dataValidations count="5">
    <dataValidation type="list" allowBlank="1" showInputMessage="1" showErrorMessage="1" sqref="B6" xr:uid="{5ED97743-BD45-453A-B73C-4B79ADA8E28A}">
      <formula1>$G$7:$G$16</formula1>
    </dataValidation>
    <dataValidation type="list" allowBlank="1" showInputMessage="1" showErrorMessage="1" sqref="B9" xr:uid="{0B650E02-BCA3-4A2A-9AB7-82936D511B8F}">
      <formula1>$X$6:$Z$6</formula1>
    </dataValidation>
    <dataValidation type="list" allowBlank="1" showInputMessage="1" showErrorMessage="1" sqref="B8" xr:uid="{8030B26E-0D7A-406F-9281-D5B4268DA5A8}">
      <formula1>$M$6:$Q$6</formula1>
    </dataValidation>
    <dataValidation type="list" allowBlank="1" showInputMessage="1" showErrorMessage="1" sqref="B7" xr:uid="{280BFA9D-247E-4639-AEDE-3806AC91B31A}">
      <formula1>$I$6:$K$6</formula1>
    </dataValidation>
    <dataValidation type="list" allowBlank="1" showInputMessage="1" showErrorMessage="1" sqref="B10" xr:uid="{EF697020-AE24-4679-83AE-34801ADEA8EC}">
      <formula1>$AC$6:$AE$6</formula1>
    </dataValidation>
  </dataValidations>
  <hyperlinks>
    <hyperlink ref="C6" location="Review!A2" display="Click here to review SBC intervention types" xr:uid="{E5F5D09E-1419-4049-87F3-03B4067BE7AD}"/>
    <hyperlink ref="C7" location="Review!A30" display="Click here to review intervention intensity" xr:uid="{F5B8389A-8AF5-4F5B-8340-058827516E35}"/>
    <hyperlink ref="C8" location="Review!A50" display="Click here to review health areas" xr:uid="{678C9443-DBA5-4331-9A63-9584A1A2513A}"/>
    <hyperlink ref="C9" location="Review!A68" display="Click here to review ownership" xr:uid="{22F42ED5-96E5-40FC-8710-80D150E542C2}"/>
    <hyperlink ref="C10" location="Review!A83" display="Click here to review scale" xr:uid="{05BBFF38-9B8F-4304-849D-8D543D6D270B}"/>
  </hyperlinks>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6EBA8804-38AF-4C87-BF85-5888823086BA}">
          <x14:formula1>
            <xm:f>'country list'!$A$2:$A$140</xm:f>
          </x14:formula1>
          <xm:sqref>B5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5083AE-B532-4D02-A565-D536EEC988C4}">
  <sheetPr>
    <tabColor rgb="FF00B0F0"/>
  </sheetPr>
  <dimension ref="B2:Y76"/>
  <sheetViews>
    <sheetView showGridLines="0" workbookViewId="0">
      <selection activeCell="D25" sqref="D25"/>
    </sheetView>
  </sheetViews>
  <sheetFormatPr defaultRowHeight="14.5" x14ac:dyDescent="0.35"/>
  <cols>
    <col min="1" max="1" width="5.1796875" customWidth="1"/>
    <col min="2" max="2" width="40.81640625" customWidth="1"/>
    <col min="3" max="5" width="25.54296875" customWidth="1"/>
    <col min="13" max="13" width="18.26953125" bestFit="1" customWidth="1"/>
  </cols>
  <sheetData>
    <row r="2" spans="2:25" ht="21" x14ac:dyDescent="0.6">
      <c r="B2" s="132" t="s">
        <v>887</v>
      </c>
      <c r="G2" s="46"/>
      <c r="N2" s="46"/>
      <c r="T2" s="46"/>
      <c r="Y2" s="46"/>
    </row>
    <row r="3" spans="2:25" ht="18.5" x14ac:dyDescent="0.55000000000000004">
      <c r="B3" s="130" t="s">
        <v>897</v>
      </c>
      <c r="G3" s="14"/>
      <c r="N3" s="14"/>
      <c r="T3" s="14"/>
      <c r="Y3" s="14"/>
    </row>
    <row r="8" spans="2:25" ht="16.5" x14ac:dyDescent="0.5">
      <c r="B8" s="129"/>
    </row>
    <row r="9" spans="2:25" ht="16.5" x14ac:dyDescent="0.5">
      <c r="B9" s="129"/>
    </row>
    <row r="10" spans="2:25" ht="16.5" x14ac:dyDescent="0.5">
      <c r="B10" s="129"/>
    </row>
    <row r="11" spans="2:25" ht="16.5" x14ac:dyDescent="0.5">
      <c r="B11" s="129"/>
    </row>
    <row r="12" spans="2:25" ht="16.5" x14ac:dyDescent="0.5">
      <c r="B12" s="129"/>
    </row>
    <row r="25" spans="2:25" ht="21" x14ac:dyDescent="0.6">
      <c r="B25" s="132" t="s">
        <v>887</v>
      </c>
      <c r="G25" s="46"/>
      <c r="N25" s="46"/>
      <c r="T25" s="46"/>
      <c r="Y25" s="46"/>
    </row>
    <row r="26" spans="2:25" ht="18.5" x14ac:dyDescent="0.55000000000000004">
      <c r="B26" s="130" t="s">
        <v>898</v>
      </c>
      <c r="G26" s="14"/>
      <c r="N26" s="14"/>
      <c r="T26" s="14"/>
      <c r="Y26" s="14"/>
    </row>
    <row r="33" spans="2:25" ht="16" x14ac:dyDescent="0.5">
      <c r="B33" s="133" t="s">
        <v>935</v>
      </c>
      <c r="C33" s="133" t="s">
        <v>552</v>
      </c>
      <c r="D33" s="133" t="s">
        <v>821</v>
      </c>
      <c r="E33" s="133" t="s">
        <v>553</v>
      </c>
    </row>
    <row r="34" spans="2:25" ht="48" x14ac:dyDescent="0.5">
      <c r="B34" s="134" t="s">
        <v>899</v>
      </c>
      <c r="C34" s="135" t="s">
        <v>902</v>
      </c>
      <c r="D34" s="135" t="s">
        <v>903</v>
      </c>
      <c r="E34" s="135" t="s">
        <v>904</v>
      </c>
    </row>
    <row r="35" spans="2:25" ht="16" x14ac:dyDescent="0.5">
      <c r="B35" s="134" t="s">
        <v>900</v>
      </c>
      <c r="C35" s="135" t="s">
        <v>901</v>
      </c>
      <c r="D35" s="135" t="s">
        <v>905</v>
      </c>
      <c r="E35" s="135" t="s">
        <v>906</v>
      </c>
    </row>
    <row r="36" spans="2:25" ht="32" x14ac:dyDescent="0.5">
      <c r="B36" s="134" t="s">
        <v>907</v>
      </c>
      <c r="C36" s="135" t="s">
        <v>908</v>
      </c>
      <c r="D36" s="136" t="s">
        <v>909</v>
      </c>
      <c r="E36" s="135" t="s">
        <v>910</v>
      </c>
    </row>
    <row r="37" spans="2:25" ht="32" x14ac:dyDescent="0.5">
      <c r="B37" s="134" t="s">
        <v>911</v>
      </c>
      <c r="C37" s="135" t="s">
        <v>912</v>
      </c>
      <c r="D37" s="135" t="s">
        <v>913</v>
      </c>
      <c r="E37" s="135" t="s">
        <v>914</v>
      </c>
    </row>
    <row r="38" spans="2:25" ht="32" x14ac:dyDescent="0.5">
      <c r="B38" s="134" t="s">
        <v>915</v>
      </c>
      <c r="C38" s="135" t="s">
        <v>916</v>
      </c>
      <c r="D38" s="135" t="s">
        <v>917</v>
      </c>
      <c r="E38" s="135" t="s">
        <v>918</v>
      </c>
    </row>
    <row r="39" spans="2:25" ht="48" x14ac:dyDescent="0.5">
      <c r="B39" s="134" t="s">
        <v>919</v>
      </c>
      <c r="C39" s="135" t="s">
        <v>920</v>
      </c>
      <c r="D39" s="135" t="s">
        <v>922</v>
      </c>
      <c r="E39" s="135" t="s">
        <v>923</v>
      </c>
    </row>
    <row r="40" spans="2:25" ht="16" x14ac:dyDescent="0.5">
      <c r="B40" s="134" t="s">
        <v>921</v>
      </c>
      <c r="C40" s="135" t="s">
        <v>924</v>
      </c>
      <c r="D40" s="135" t="s">
        <v>926</v>
      </c>
      <c r="E40" s="135" t="s">
        <v>925</v>
      </c>
    </row>
    <row r="41" spans="2:25" ht="16" x14ac:dyDescent="0.5">
      <c r="B41" s="134" t="s">
        <v>928</v>
      </c>
      <c r="C41" s="135" t="s">
        <v>929</v>
      </c>
      <c r="D41" s="136" t="s">
        <v>930</v>
      </c>
      <c r="E41" s="135" t="s">
        <v>931</v>
      </c>
    </row>
    <row r="42" spans="2:25" ht="16" x14ac:dyDescent="0.5">
      <c r="B42" s="134" t="s">
        <v>927</v>
      </c>
      <c r="C42" s="135" t="s">
        <v>932</v>
      </c>
      <c r="D42" s="135" t="s">
        <v>933</v>
      </c>
      <c r="E42" s="135" t="s">
        <v>934</v>
      </c>
    </row>
    <row r="45" spans="2:25" ht="21" x14ac:dyDescent="0.6">
      <c r="B45" s="132" t="s">
        <v>887</v>
      </c>
      <c r="G45" s="46"/>
      <c r="N45" s="46"/>
      <c r="T45" s="46"/>
      <c r="Y45" s="46"/>
    </row>
    <row r="46" spans="2:25" ht="18.5" x14ac:dyDescent="0.55000000000000004">
      <c r="B46" s="130" t="s">
        <v>936</v>
      </c>
      <c r="G46" s="14"/>
      <c r="N46" s="14"/>
      <c r="T46" s="14"/>
      <c r="Y46" s="14"/>
    </row>
    <row r="62" spans="2:25" ht="21" x14ac:dyDescent="0.6">
      <c r="B62" s="132" t="s">
        <v>887</v>
      </c>
      <c r="G62" s="46"/>
      <c r="N62" s="46"/>
      <c r="T62" s="46"/>
      <c r="Y62" s="46"/>
    </row>
    <row r="63" spans="2:25" ht="18.5" x14ac:dyDescent="0.55000000000000004">
      <c r="B63" s="130" t="s">
        <v>937</v>
      </c>
      <c r="G63" s="14"/>
      <c r="N63" s="14"/>
      <c r="T63" s="14"/>
      <c r="Y63" s="14"/>
    </row>
    <row r="75" spans="2:25" ht="21" x14ac:dyDescent="0.6">
      <c r="B75" s="132" t="s">
        <v>887</v>
      </c>
      <c r="G75" s="46"/>
      <c r="N75" s="46"/>
      <c r="T75" s="46"/>
      <c r="Y75" s="46"/>
    </row>
    <row r="76" spans="2:25" ht="18.5" x14ac:dyDescent="0.55000000000000004">
      <c r="B76" s="130" t="s">
        <v>938</v>
      </c>
      <c r="G76" s="14"/>
      <c r="N76" s="14"/>
      <c r="T76" s="14"/>
      <c r="Y76" s="14"/>
    </row>
  </sheetData>
  <sheetProtection algorithmName="SHA-512" hashValue="8JKO1VOzSDLKJy+ykgQsSEDaHKAdx9LSzEHj0Ny/EgtyzoLpqjmDUQ9d9Qdy4xww6ya4UKvJq6Ykjmd6R1v+JQ==" saltValue="AfgJLirX8RBMPXXebNrvdQ==" spinCount="100000" sheet="1" objects="1" scenarios="1"/>
  <hyperlinks>
    <hyperlink ref="B2" location="Tool!A1" display="Click here to return to tool" xr:uid="{CCF04CA5-786B-48DE-A6FC-75DF395CC079}"/>
    <hyperlink ref="B25" location="Tool!A1" display="Click here to return to tool" xr:uid="{20F36C30-CF6A-4848-BB0F-1E3311A193C1}"/>
    <hyperlink ref="B45" location="Tool!A1" display="Click here to return to tool" xr:uid="{84205305-3EBB-4E12-BF6E-0C2273D8F217}"/>
    <hyperlink ref="B62" location="Tool!A1" display="Click here to return to tool" xr:uid="{1D4A9263-8263-4438-AC44-586676FEE428}"/>
    <hyperlink ref="B75" location="Tool!A1" display="Click here to return to tool" xr:uid="{26A859F4-DDE7-4801-8322-D1416ABE7814}"/>
  </hyperlinks>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3D39E9-FF2D-4BF4-8BEB-D69DF3665BF3}">
  <dimension ref="C3:E16"/>
  <sheetViews>
    <sheetView workbookViewId="0">
      <selection activeCell="C9" sqref="C9"/>
    </sheetView>
  </sheetViews>
  <sheetFormatPr defaultRowHeight="14.5" x14ac:dyDescent="0.35"/>
  <cols>
    <col min="3" max="3" width="16.453125" bestFit="1" customWidth="1"/>
    <col min="5" max="5" width="10.1796875" bestFit="1" customWidth="1"/>
  </cols>
  <sheetData>
    <row r="3" spans="3:5" x14ac:dyDescent="0.35">
      <c r="C3" t="s">
        <v>16</v>
      </c>
      <c r="D3" s="29">
        <f>_xlfn.MINIFS(dataset!$O$2:$O$162,dataset!$E$2:$E$162,"Radio")</f>
        <v>1.3299999999999999E-2</v>
      </c>
      <c r="E3" s="29">
        <f>_xlfn.MAXIFS(dataset!$O$2:$O$162,dataset!$E$2:$E$162,"Radio")</f>
        <v>4.3600000000000003</v>
      </c>
    </row>
    <row r="4" spans="3:5" x14ac:dyDescent="0.35">
      <c r="C4" t="s">
        <v>871</v>
      </c>
      <c r="D4" s="29">
        <f>_xlfn.MINIFS(dataset!$O$2:$O$162,dataset!$E$2:$E$162,"TV")</f>
        <v>6.0800000000000003E-3</v>
      </c>
      <c r="E4" s="29">
        <f>_xlfn.MAXIFS(dataset!$O$2:$O$162,dataset!$E$2:$E$162,"TV")</f>
        <v>0.78090000000000004</v>
      </c>
    </row>
    <row r="5" spans="3:5" x14ac:dyDescent="0.35">
      <c r="C5" t="s">
        <v>819</v>
      </c>
      <c r="D5" s="29">
        <f>_xlfn.MINIFS(dataset!$O$2:$O$162,dataset!$E$2:$E$162,"Print")</f>
        <v>1.8638284686766822E-2</v>
      </c>
      <c r="E5" s="29">
        <f>_xlfn.MAXIFS(dataset!$O$2:$O$162,dataset!$E$2:$E$162,"Print")</f>
        <v>1.0787</v>
      </c>
    </row>
    <row r="6" spans="3:5" x14ac:dyDescent="0.35">
      <c r="C6" t="s">
        <v>29</v>
      </c>
      <c r="D6" s="29">
        <f>_xlfn.MINIFS(dataset!$O$2:$O$162,dataset!$E$2:$E$162,"Mixed mass media")</f>
        <v>1.0249799831341689E-2</v>
      </c>
      <c r="E6" s="29">
        <f>_xlfn.MAXIFS(dataset!$O$2:$O$162,dataset!$E$2:$E$162,"Mixed mass media")</f>
        <v>2.0070000000000001</v>
      </c>
    </row>
    <row r="7" spans="3:5" x14ac:dyDescent="0.35">
      <c r="C7" t="s">
        <v>200</v>
      </c>
      <c r="D7" s="29">
        <f>_xlfn.MINIFS(dataset!$O$2:$O$162,dataset!$E$2:$E$162,"Live drama")</f>
        <v>0.14879999999999999</v>
      </c>
      <c r="E7" s="29">
        <f>_xlfn.MAXIFS(dataset!$O$2:$O$162,dataset!$E$2:$E$162,"Live drama")</f>
        <v>3.7480000000000002</v>
      </c>
    </row>
    <row r="8" spans="3:5" x14ac:dyDescent="0.35">
      <c r="C8" t="s">
        <v>573</v>
      </c>
      <c r="D8" s="29">
        <f>_xlfn.MINIFS(dataset!$O$2:$O$162,dataset!$E$2:$E$162,"SMS/phone ")</f>
        <v>3.3499519053513893E-2</v>
      </c>
      <c r="E8" s="29">
        <v>4.42</v>
      </c>
    </row>
    <row r="9" spans="3:5" x14ac:dyDescent="0.35">
      <c r="C9" t="s">
        <v>108</v>
      </c>
      <c r="D9" s="29">
        <f>_xlfn.MINIFS(dataset!$O$2:$O$162,dataset!$E$2:$E$162,"Individual IPC")</f>
        <v>0.34758</v>
      </c>
      <c r="E9" s="29">
        <f>_xlfn.MAXIFS(dataset!$O$2:$O$162,dataset!$E$2:$E$162,"Individual IPC")</f>
        <v>79.230436578980289</v>
      </c>
    </row>
    <row r="10" spans="3:5" x14ac:dyDescent="0.35">
      <c r="C10" t="s">
        <v>102</v>
      </c>
      <c r="D10" s="29">
        <f>_xlfn.MINIFS(dataset!$O$2:$O$162,dataset!$E$2:$E$162,"Group IPC")</f>
        <v>0.15475</v>
      </c>
      <c r="E10" s="29">
        <f>_xlfn.MAXIFS(dataset!$O$2:$O$162,dataset!$E$2:$E$162,"Group IPC")</f>
        <v>67.745900000000006</v>
      </c>
    </row>
    <row r="11" spans="3:5" x14ac:dyDescent="0.35">
      <c r="C11" t="s">
        <v>562</v>
      </c>
      <c r="D11" s="29">
        <f>_xlfn.MINIFS(dataset!$O$2:$O$162,dataset!$E$2:$E$162,"IPC + other")</f>
        <v>0.78</v>
      </c>
      <c r="E11" s="29">
        <f>_xlfn.MAXIFS(dataset!$O$2:$O$162,dataset!$E$2:$E$162,"IPC + other")</f>
        <v>40.270000000000003</v>
      </c>
    </row>
    <row r="12" spans="3:5" x14ac:dyDescent="0.35">
      <c r="C12" t="s">
        <v>872</v>
      </c>
      <c r="D12" s="29">
        <f>_xlfn.MINIFS(dataset!$O$2:$O$162,dataset!$E$2:$E$162,"Provider training")</f>
        <v>1.2259899999999999</v>
      </c>
      <c r="E12" s="29">
        <f>_xlfn.MAXIFS(dataset!$O$2:$O$162,dataset!$E$2:$E$162,"Provider training")</f>
        <v>2603.4879999999998</v>
      </c>
    </row>
    <row r="13" spans="3:5" x14ac:dyDescent="0.35">
      <c r="D13" s="29"/>
      <c r="E13" s="29"/>
    </row>
    <row r="14" spans="3:5" x14ac:dyDescent="0.35">
      <c r="D14" s="29"/>
      <c r="E14" s="29"/>
    </row>
    <row r="15" spans="3:5" x14ac:dyDescent="0.35">
      <c r="D15" s="29"/>
      <c r="E15" s="29"/>
    </row>
    <row r="16" spans="3:5" x14ac:dyDescent="0.35">
      <c r="D16" s="29"/>
      <c r="E16" s="29"/>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1EC978-4BDA-4DFE-9BA4-0D622704104E}">
  <sheetPr>
    <tabColor rgb="FFFF0066"/>
  </sheetPr>
  <dimension ref="A1:K29"/>
  <sheetViews>
    <sheetView zoomScale="80" zoomScaleNormal="80" workbookViewId="0">
      <selection activeCell="C11" sqref="C11"/>
    </sheetView>
  </sheetViews>
  <sheetFormatPr defaultColWidth="8.7265625" defaultRowHeight="14.5" x14ac:dyDescent="0.35"/>
  <cols>
    <col min="1" max="1" width="25.453125" style="30" customWidth="1"/>
    <col min="2" max="2" width="22.453125" customWidth="1"/>
    <col min="3" max="3" width="21.81640625" customWidth="1"/>
    <col min="4" max="4" width="9.7265625" customWidth="1"/>
    <col min="5" max="5" width="12.26953125" customWidth="1"/>
    <col min="6" max="6" width="13.453125" customWidth="1"/>
    <col min="7" max="7" width="10.54296875" customWidth="1"/>
    <col min="8" max="8" width="12.54296875" customWidth="1"/>
    <col min="9" max="9" width="8.81640625" customWidth="1"/>
    <col min="10" max="10" width="21.453125" bestFit="1" customWidth="1"/>
    <col min="11" max="11" width="12.26953125" bestFit="1" customWidth="1"/>
    <col min="16" max="16" width="9.453125" customWidth="1"/>
    <col min="17" max="18" width="11.81640625" customWidth="1"/>
    <col min="19" max="20" width="10.7265625" customWidth="1"/>
    <col min="21" max="21" width="20.54296875" bestFit="1" customWidth="1"/>
    <col min="22" max="22" width="21.453125" bestFit="1" customWidth="1"/>
    <col min="23" max="23" width="21.81640625" bestFit="1" customWidth="1"/>
  </cols>
  <sheetData>
    <row r="1" spans="1:11" ht="15" thickBot="1" x14ac:dyDescent="0.4">
      <c r="A1" s="37" t="s">
        <v>164</v>
      </c>
    </row>
    <row r="2" spans="1:11" ht="43.5" x14ac:dyDescent="0.35">
      <c r="B2" s="6" t="s">
        <v>160</v>
      </c>
      <c r="C2" s="7" t="s">
        <v>161</v>
      </c>
      <c r="D2" s="8" t="s">
        <v>293</v>
      </c>
      <c r="E2" s="38" t="s">
        <v>291</v>
      </c>
      <c r="F2" t="s">
        <v>817</v>
      </c>
      <c r="G2" t="s">
        <v>818</v>
      </c>
      <c r="H2">
        <v>2021</v>
      </c>
      <c r="K2" s="32"/>
    </row>
    <row r="3" spans="1:11" x14ac:dyDescent="0.35">
      <c r="B3" s="9" t="s">
        <v>16</v>
      </c>
      <c r="C3" s="5" t="s">
        <v>54</v>
      </c>
      <c r="D3" s="1">
        <v>0.26</v>
      </c>
      <c r="E3" s="39" cm="1">
        <f t="array" ref="E3">MEDIAN(IF(dataset!$E$2:$E$200="Radio",dataset!$O$2:$O$200))</f>
        <v>0.27811000000000002</v>
      </c>
      <c r="F3" s="39" cm="1">
        <f t="array" ref="F3">QUARTILE(IF(dataset!$E$2:$E$200="Radio",dataset!$O$2:$O$200),1)</f>
        <v>0.13688899999999998</v>
      </c>
      <c r="G3" s="39" cm="1">
        <f t="array" ref="G3">QUARTILE(IF(dataset!$E$2:$E$200="Radio",dataset!$O$2:$O$200),3)</f>
        <v>1.3647</v>
      </c>
      <c r="H3" s="21">
        <f>E3+(E3*0.0416)</f>
        <v>0.28967937600000004</v>
      </c>
      <c r="K3" s="23"/>
    </row>
    <row r="4" spans="1:11" x14ac:dyDescent="0.35">
      <c r="B4" s="9" t="s">
        <v>57</v>
      </c>
      <c r="C4" s="5" t="s">
        <v>54</v>
      </c>
      <c r="D4" s="1">
        <v>0.17</v>
      </c>
      <c r="E4" s="39" cm="1">
        <f t="array" ref="E4">MEDIAN(IF(dataset!$E$2:$E$200="TV",dataset!$O$2:$O$200))</f>
        <v>0.1173</v>
      </c>
      <c r="F4" s="39" cm="1">
        <f t="array" ref="F4">QUARTILE(IF(dataset!$E$2:$E$200="TV",dataset!$O$2:$O$200),1)</f>
        <v>2.9809142343383412E-2</v>
      </c>
      <c r="G4" s="39" cm="1">
        <f t="array" ref="G4">QUARTILE(IF(dataset!$E$2:$E$200="TV",dataset!$O$2:$O$200),3)</f>
        <v>0.29490500000000003</v>
      </c>
      <c r="H4" s="21">
        <f t="shared" ref="H4:H12" si="0">E4+(E4*0.0416)</f>
        <v>0.12217968</v>
      </c>
      <c r="K4" s="23"/>
    </row>
    <row r="5" spans="1:11" x14ac:dyDescent="0.35">
      <c r="B5" s="9" t="s">
        <v>819</v>
      </c>
      <c r="C5" s="5" t="s">
        <v>54</v>
      </c>
      <c r="D5" s="1">
        <v>0.3</v>
      </c>
      <c r="E5" s="39" cm="1">
        <f t="array" ref="E5">MEDIAN(IF(dataset!$E$2:$E$200="Print",dataset!$O$2:$O$200))</f>
        <v>0.12275999999999999</v>
      </c>
      <c r="F5" s="39" cm="1">
        <f t="array" ref="F5">QUARTILE(IF(dataset!$E$2:$E$200="Print",dataset!$O$2:$O$200),1)</f>
        <v>3.0194175624396205E-2</v>
      </c>
      <c r="G5" s="39" cm="1">
        <f t="array" ref="G5">QUARTILE(IF(dataset!$E$2:$E$200="Print",dataset!$O$2:$O$200),3)</f>
        <v>0.28695000000000004</v>
      </c>
      <c r="H5" s="21">
        <f t="shared" si="0"/>
        <v>0.12786681599999999</v>
      </c>
      <c r="K5" s="23"/>
    </row>
    <row r="6" spans="1:11" x14ac:dyDescent="0.35">
      <c r="B6" s="9" t="s">
        <v>29</v>
      </c>
      <c r="C6" s="5" t="s">
        <v>54</v>
      </c>
      <c r="D6" s="1">
        <v>0.57999999999999996</v>
      </c>
      <c r="E6" s="39" cm="1">
        <f t="array" ref="E6">MEDIAN(IF(dataset!$E$2:$E$200="Mixed mass media",dataset!$O$2:$O$200))</f>
        <v>0.37550651326437307</v>
      </c>
      <c r="F6" s="39" cm="1">
        <f t="array" ref="F6">QUARTILE(IF(dataset!$E$2:$E$200="Mixed mass media",dataset!$O$2:$O$200),1)</f>
        <v>0.17075000000000001</v>
      </c>
      <c r="G6" s="39" cm="1">
        <f t="array" ref="G6">QUARTILE(IF(dataset!$E$2:$E$200="Mixed mass media",dataset!$O$2:$O$200),3)</f>
        <v>0.65581250000000002</v>
      </c>
      <c r="H6" s="21">
        <f t="shared" si="0"/>
        <v>0.391127584216171</v>
      </c>
      <c r="K6" s="23"/>
    </row>
    <row r="7" spans="1:11" x14ac:dyDescent="0.35">
      <c r="B7" s="9" t="s">
        <v>200</v>
      </c>
      <c r="C7" s="5" t="s">
        <v>54</v>
      </c>
      <c r="D7" s="1">
        <v>0.47</v>
      </c>
      <c r="E7" s="39" cm="1">
        <f t="array" ref="E7">MEDIAN(IF(dataset!$D$2:$D$200="Mid media",dataset!$O$2:$O$200))</f>
        <v>0.41166999999999998</v>
      </c>
      <c r="F7" s="39" cm="1">
        <f t="array" ref="F7">QUARTILE(IF(dataset!$D$2:$D$200="Mid media",dataset!$O$2:$O$200),1)</f>
        <v>0.21887499999999999</v>
      </c>
      <c r="G7" s="39" cm="1">
        <f t="array" ref="G7">QUARTILE(IF(dataset!$D$2:$D$200="Mid media",dataset!$O$2:$O$200),3)</f>
        <v>1.4344999999999999</v>
      </c>
      <c r="H7" s="21">
        <f t="shared" si="0"/>
        <v>0.42879547199999996</v>
      </c>
      <c r="K7" s="23"/>
    </row>
    <row r="8" spans="1:11" x14ac:dyDescent="0.35">
      <c r="B8" s="9" t="s">
        <v>573</v>
      </c>
      <c r="C8" s="5" t="s">
        <v>69</v>
      </c>
      <c r="D8" s="1">
        <v>1.99</v>
      </c>
      <c r="E8" s="39" cm="1">
        <f t="array" ref="E8">MEDIAN(IF(dataset!$E$2:$E$200="SMS/phone ",dataset!$O$2:$O$200))</f>
        <v>0.92586123077810556</v>
      </c>
      <c r="F8" s="39" cm="1">
        <f t="array" ref="F8">QUARTILE(IF(dataset!$E$2:$E$200="SMS/phone ",dataset!$O$2:$O$200),1)</f>
        <v>0.59250000000000003</v>
      </c>
      <c r="G8" s="39" cm="1">
        <f t="array" ref="G8">QUARTILE(IF(dataset!$E$2:$E$200="SMS/phone ",dataset!$O$2:$O$200),3)</f>
        <v>2.2956249999999998</v>
      </c>
      <c r="H8" s="21">
        <f t="shared" si="0"/>
        <v>0.96437705797847473</v>
      </c>
      <c r="K8" s="23"/>
    </row>
    <row r="9" spans="1:11" x14ac:dyDescent="0.35">
      <c r="B9" s="9" t="s">
        <v>108</v>
      </c>
      <c r="C9" s="3" t="s">
        <v>55</v>
      </c>
      <c r="D9" s="2">
        <v>8.34</v>
      </c>
      <c r="E9" s="39" cm="1">
        <f t="array" ref="E9">MEDIAN(IF(dataset!$E$2:$E$200="Individual IPC",dataset!$O$2:$O$200))</f>
        <v>6.3964875795692873</v>
      </c>
      <c r="F9" s="39" cm="1">
        <f t="array" ref="F9">QUARTILE(IF(dataset!$E$2:$E$200="Individual IPC",dataset!$O$2:$O$200),1)</f>
        <v>2.76675</v>
      </c>
      <c r="G9" s="39" cm="1">
        <f t="array" ref="G9">QUARTILE(IF(dataset!$E$2:$E$200="Individual IPC",dataset!$O$2:$O$200),3)</f>
        <v>23.446848874923283</v>
      </c>
      <c r="H9" s="21">
        <f t="shared" si="0"/>
        <v>6.6625814628793698</v>
      </c>
      <c r="K9" s="23"/>
    </row>
    <row r="10" spans="1:11" x14ac:dyDescent="0.35">
      <c r="B10" s="9" t="s">
        <v>102</v>
      </c>
      <c r="C10" s="3" t="s">
        <v>55</v>
      </c>
      <c r="D10" s="2">
        <v>4.4000000000000004</v>
      </c>
      <c r="E10" s="39" cm="1">
        <f t="array" ref="E10">MEDIAN(IF(dataset!$E$2:$E$200="Group IPC",dataset!$O$2:$O$200))</f>
        <v>6.2577484804202994</v>
      </c>
      <c r="F10" s="39" cm="1">
        <f t="array" ref="F10">QUARTILE(IF(dataset!$E$2:$E$200="Group IPC",dataset!$O$2:$O$200),1)</f>
        <v>2.9969999999999999</v>
      </c>
      <c r="G10" s="39" cm="1">
        <f t="array" ref="G10">QUARTILE(IF(dataset!$E$2:$E$200="Group IPC",dataset!$O$2:$O$200),3)</f>
        <v>16.935505670993386</v>
      </c>
      <c r="H10" s="21">
        <f t="shared" si="0"/>
        <v>6.5180708172057837</v>
      </c>
      <c r="K10" s="23"/>
    </row>
    <row r="11" spans="1:11" x14ac:dyDescent="0.35">
      <c r="B11" s="9" t="s">
        <v>562</v>
      </c>
      <c r="C11" s="3" t="s">
        <v>55</v>
      </c>
      <c r="D11" s="2" t="s">
        <v>292</v>
      </c>
      <c r="E11" s="39" cm="1">
        <f t="array" ref="E11">MEDIAN(IF(dataset!$E$2:$E$200="IPC + other",dataset!$O$2:$O$200))</f>
        <v>6.5667114419095167</v>
      </c>
      <c r="F11" s="39" cm="1">
        <f t="array" ref="F11">QUARTILE(IF(dataset!$E$2:$E$200="IPC + other",dataset!$O$2:$O$200),1)</f>
        <v>2.34</v>
      </c>
      <c r="G11" s="39" cm="1">
        <f t="array" ref="G11">QUARTILE(IF(dataset!$E$2:$E$200="IPC + other",dataset!$O$2:$O$200),3)</f>
        <v>15.055</v>
      </c>
      <c r="H11" s="21">
        <f t="shared" si="0"/>
        <v>6.8398866378929526</v>
      </c>
      <c r="K11" s="23"/>
    </row>
    <row r="12" spans="1:11" ht="15" thickBot="1" x14ac:dyDescent="0.4">
      <c r="B12" s="10" t="s">
        <v>88</v>
      </c>
      <c r="C12" s="11" t="s">
        <v>165</v>
      </c>
      <c r="D12" s="12" t="s">
        <v>292</v>
      </c>
      <c r="E12" s="40" cm="1">
        <f t="array" ref="E12">MEDIAN(IF(dataset!$E$2:$E$200="Provider training",dataset!$O$2:$O$200))</f>
        <v>125.72912541159806</v>
      </c>
      <c r="F12" s="39" cm="1">
        <f t="array" ref="F12">QUARTILE(IF(dataset!$E$2:$E$200="Provider training",dataset!$O$2:$O$200),1)</f>
        <v>101.12412499999999</v>
      </c>
      <c r="G12" s="39" cm="1">
        <f t="array" ref="G12">QUARTILE(IF(dataset!$E$2:$E$200="Provider training",dataset!$O$2:$O$200),3)</f>
        <v>503.38499999999999</v>
      </c>
      <c r="H12" s="21">
        <f t="shared" si="0"/>
        <v>130.95945702872055</v>
      </c>
      <c r="K12" s="23"/>
    </row>
    <row r="15" spans="1:11" ht="29" x14ac:dyDescent="0.35">
      <c r="B15" s="41" t="str">
        <f>B2</f>
        <v>Intervention</v>
      </c>
      <c r="C15" s="42" t="s">
        <v>841</v>
      </c>
      <c r="D15" s="43" t="s">
        <v>867</v>
      </c>
      <c r="E15" s="44" t="s">
        <v>868</v>
      </c>
    </row>
    <row r="16" spans="1:11" x14ac:dyDescent="0.35">
      <c r="B16" s="33" t="str">
        <f>B3</f>
        <v>Radio</v>
      </c>
      <c r="C16" s="36" t="s">
        <v>865</v>
      </c>
      <c r="D16" s="34">
        <v>11</v>
      </c>
      <c r="E16" s="35">
        <f>E3</f>
        <v>0.27811000000000002</v>
      </c>
    </row>
    <row r="17" spans="2:5" x14ac:dyDescent="0.35">
      <c r="B17" s="33" t="str">
        <f t="shared" ref="B17:B20" si="1">B4</f>
        <v>TV</v>
      </c>
      <c r="C17" s="36" t="s">
        <v>865</v>
      </c>
      <c r="D17" s="34">
        <v>11</v>
      </c>
      <c r="E17" s="35">
        <f t="shared" ref="E17:E21" si="2">E4</f>
        <v>0.1173</v>
      </c>
    </row>
    <row r="18" spans="2:5" x14ac:dyDescent="0.35">
      <c r="B18" s="33" t="str">
        <f t="shared" si="1"/>
        <v>Print</v>
      </c>
      <c r="C18" s="36" t="s">
        <v>865</v>
      </c>
      <c r="D18" s="34">
        <v>7</v>
      </c>
      <c r="E18" s="35">
        <f t="shared" si="2"/>
        <v>0.12275999999999999</v>
      </c>
    </row>
    <row r="19" spans="2:5" x14ac:dyDescent="0.35">
      <c r="B19" s="33" t="str">
        <f t="shared" si="1"/>
        <v>Mixed mass media</v>
      </c>
      <c r="C19" s="36" t="s">
        <v>865</v>
      </c>
      <c r="D19" s="34">
        <v>10</v>
      </c>
      <c r="E19" s="35">
        <f t="shared" si="2"/>
        <v>0.37550651326437307</v>
      </c>
    </row>
    <row r="20" spans="2:5" x14ac:dyDescent="0.35">
      <c r="B20" s="33" t="str">
        <f t="shared" si="1"/>
        <v>Mid media</v>
      </c>
      <c r="C20" s="36" t="s">
        <v>865</v>
      </c>
      <c r="D20" s="34">
        <v>11</v>
      </c>
      <c r="E20" s="35">
        <f t="shared" si="2"/>
        <v>0.41166999999999998</v>
      </c>
    </row>
    <row r="21" spans="2:5" x14ac:dyDescent="0.35">
      <c r="B21" s="33" t="str">
        <f>B8</f>
        <v xml:space="preserve">SMS/phone </v>
      </c>
      <c r="C21" s="36" t="s">
        <v>865</v>
      </c>
      <c r="D21" s="34">
        <v>16</v>
      </c>
      <c r="E21" s="35">
        <f t="shared" si="2"/>
        <v>0.92586123077810556</v>
      </c>
    </row>
    <row r="23" spans="2:5" ht="29" x14ac:dyDescent="0.35">
      <c r="B23" s="45" t="str">
        <f>B15</f>
        <v>Intervention</v>
      </c>
      <c r="C23" s="43" t="str">
        <f t="shared" ref="C23:E23" si="3">C15</f>
        <v>Unit of analysis</v>
      </c>
      <c r="D23" s="43" t="str">
        <f t="shared" si="3"/>
        <v># obs.</v>
      </c>
      <c r="E23" s="44" t="str">
        <f t="shared" si="3"/>
        <v>Median unit cost</v>
      </c>
    </row>
    <row r="24" spans="2:5" x14ac:dyDescent="0.35">
      <c r="B24" s="33" t="str">
        <f>B9</f>
        <v>Individual IPC</v>
      </c>
      <c r="C24" s="36" t="s">
        <v>869</v>
      </c>
      <c r="D24" s="34">
        <v>18</v>
      </c>
      <c r="E24" s="35">
        <f>E9</f>
        <v>6.3964875795692873</v>
      </c>
    </row>
    <row r="25" spans="2:5" x14ac:dyDescent="0.35">
      <c r="B25" s="33" t="str">
        <f t="shared" ref="B25:B26" si="4">B10</f>
        <v>Group IPC</v>
      </c>
      <c r="C25" s="36" t="s">
        <v>869</v>
      </c>
      <c r="D25" s="34">
        <v>34</v>
      </c>
      <c r="E25" s="35">
        <f t="shared" ref="E25:E26" si="5">E10</f>
        <v>6.2577484804202994</v>
      </c>
    </row>
    <row r="26" spans="2:5" x14ac:dyDescent="0.35">
      <c r="B26" s="33" t="str">
        <f t="shared" si="4"/>
        <v>IPC + other</v>
      </c>
      <c r="C26" s="36" t="s">
        <v>869</v>
      </c>
      <c r="D26" s="34">
        <v>27</v>
      </c>
      <c r="E26" s="35">
        <f t="shared" si="5"/>
        <v>6.5667114419095167</v>
      </c>
    </row>
    <row r="28" spans="2:5" ht="29" x14ac:dyDescent="0.35">
      <c r="B28" s="45" t="str">
        <f>B23</f>
        <v>Intervention</v>
      </c>
      <c r="C28" s="43" t="str">
        <f t="shared" ref="C28:E28" si="6">C23</f>
        <v>Unit of analysis</v>
      </c>
      <c r="D28" s="43" t="str">
        <f t="shared" si="6"/>
        <v># obs.</v>
      </c>
      <c r="E28" s="44" t="str">
        <f t="shared" si="6"/>
        <v>Median unit cost</v>
      </c>
    </row>
    <row r="29" spans="2:5" x14ac:dyDescent="0.35">
      <c r="B29" s="33" t="str">
        <f>B12</f>
        <v>Provider training</v>
      </c>
      <c r="C29" s="36" t="s">
        <v>870</v>
      </c>
      <c r="D29" s="34">
        <v>12</v>
      </c>
      <c r="E29" s="35">
        <f>E12</f>
        <v>125.72912541159806</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40495F-4A58-498C-BF91-CB1BE3E081BD}">
  <dimension ref="A1:X1048453"/>
  <sheetViews>
    <sheetView zoomScale="80" zoomScaleNormal="80" workbookViewId="0">
      <pane ySplit="1" topLeftCell="A32" activePane="bottomLeft" state="frozen"/>
      <selection pane="bottomLeft" activeCell="D1" sqref="D1"/>
    </sheetView>
  </sheetViews>
  <sheetFormatPr defaultColWidth="8.7265625" defaultRowHeight="13" x14ac:dyDescent="0.3"/>
  <cols>
    <col min="1" max="1" width="7.54296875" style="4" bestFit="1" customWidth="1"/>
    <col min="2" max="2" width="11" style="4" bestFit="1" customWidth="1"/>
    <col min="3" max="3" width="11" style="4" customWidth="1"/>
    <col min="4" max="4" width="15.453125" style="4" bestFit="1" customWidth="1"/>
    <col min="5" max="5" width="11" style="4" bestFit="1" customWidth="1"/>
    <col min="6" max="12" width="8.7265625" style="4" customWidth="1"/>
    <col min="13" max="13" width="10.81640625" style="4" customWidth="1"/>
    <col min="14" max="14" width="12" style="4" customWidth="1"/>
    <col min="15" max="15" width="8.7265625" style="4" customWidth="1"/>
    <col min="16" max="17" width="15.54296875" style="4" customWidth="1"/>
    <col min="18" max="19" width="11" style="4" customWidth="1"/>
    <col min="20" max="20" width="11" style="4" bestFit="1" customWidth="1"/>
    <col min="21" max="22" width="8.7265625" style="4" customWidth="1"/>
    <col min="23" max="23" width="11.453125" style="4" bestFit="1" customWidth="1"/>
    <col min="24" max="16384" width="8.7265625" style="4"/>
  </cols>
  <sheetData>
    <row r="1" spans="1:24" s="19" customFormat="1" x14ac:dyDescent="0.3">
      <c r="A1" s="19" t="s">
        <v>1</v>
      </c>
      <c r="B1" s="19" t="s">
        <v>14</v>
      </c>
      <c r="C1" s="19" t="s">
        <v>476</v>
      </c>
      <c r="D1" s="19" t="s">
        <v>2</v>
      </c>
      <c r="E1" s="19" t="s">
        <v>3</v>
      </c>
      <c r="F1" s="19" t="s">
        <v>5</v>
      </c>
      <c r="G1" s="19" t="s">
        <v>10</v>
      </c>
      <c r="H1" s="19" t="s">
        <v>6</v>
      </c>
      <c r="I1" s="19" t="s">
        <v>7</v>
      </c>
      <c r="J1" s="19" t="s">
        <v>23</v>
      </c>
      <c r="K1" s="19" t="s">
        <v>9</v>
      </c>
      <c r="L1" s="19" t="s">
        <v>8</v>
      </c>
      <c r="M1" s="19" t="s">
        <v>0</v>
      </c>
      <c r="N1" s="19" t="s">
        <v>11</v>
      </c>
      <c r="O1" s="19" t="s">
        <v>4</v>
      </c>
      <c r="P1" s="19" t="s">
        <v>302</v>
      </c>
      <c r="Q1" s="19" t="s">
        <v>303</v>
      </c>
      <c r="R1" s="19" t="s">
        <v>371</v>
      </c>
      <c r="S1" s="19" t="s">
        <v>372</v>
      </c>
      <c r="T1" s="19" t="s">
        <v>550</v>
      </c>
      <c r="U1" s="19" t="s">
        <v>70</v>
      </c>
      <c r="V1" s="19" t="s">
        <v>295</v>
      </c>
      <c r="W1" s="19" t="s">
        <v>574</v>
      </c>
      <c r="X1" s="19" t="s">
        <v>843</v>
      </c>
    </row>
    <row r="2" spans="1:24" ht="14.5" customHeight="1" x14ac:dyDescent="0.3">
      <c r="A2" s="4" t="s">
        <v>194</v>
      </c>
      <c r="B2" s="4" t="s">
        <v>195</v>
      </c>
      <c r="C2" s="4">
        <v>2006</v>
      </c>
      <c r="D2" s="4" t="s">
        <v>93</v>
      </c>
      <c r="E2" s="4" t="s">
        <v>562</v>
      </c>
      <c r="F2" s="4" t="s">
        <v>47</v>
      </c>
      <c r="G2" s="4" t="s">
        <v>132</v>
      </c>
      <c r="H2" s="4" t="s">
        <v>523</v>
      </c>
      <c r="I2" s="4" t="s">
        <v>21</v>
      </c>
      <c r="J2" s="4" t="s">
        <v>31</v>
      </c>
      <c r="K2" s="4" t="s">
        <v>25</v>
      </c>
      <c r="L2" s="4" t="s">
        <v>31</v>
      </c>
      <c r="M2" s="4" t="s">
        <v>109</v>
      </c>
      <c r="N2" s="4" t="s">
        <v>18</v>
      </c>
      <c r="O2" s="4">
        <v>40.270000000000003</v>
      </c>
      <c r="P2" s="4">
        <v>12</v>
      </c>
      <c r="Q2" s="4">
        <v>12</v>
      </c>
      <c r="R2" s="4" t="s">
        <v>524</v>
      </c>
      <c r="S2" s="4" t="s">
        <v>553</v>
      </c>
      <c r="T2" s="4" t="s">
        <v>553</v>
      </c>
      <c r="V2" s="4">
        <v>2230</v>
      </c>
      <c r="W2" s="4">
        <v>6.5667114419095167</v>
      </c>
    </row>
    <row r="3" spans="1:24" ht="14.5" customHeight="1" x14ac:dyDescent="0.3">
      <c r="A3" s="4" t="s">
        <v>267</v>
      </c>
      <c r="B3" s="4" t="s">
        <v>266</v>
      </c>
      <c r="C3" s="4">
        <v>2010</v>
      </c>
      <c r="D3" s="4" t="s">
        <v>93</v>
      </c>
      <c r="E3" s="4" t="s">
        <v>562</v>
      </c>
      <c r="F3" s="4" t="s">
        <v>28</v>
      </c>
      <c r="G3" s="4" t="s">
        <v>19</v>
      </c>
      <c r="H3" s="4" t="s">
        <v>120</v>
      </c>
      <c r="I3" s="4" t="s">
        <v>21</v>
      </c>
      <c r="J3" s="4" t="s">
        <v>24</v>
      </c>
      <c r="K3" s="4" t="s">
        <v>25</v>
      </c>
      <c r="L3" s="4" t="s">
        <v>74</v>
      </c>
      <c r="M3" s="4" t="s">
        <v>259</v>
      </c>
      <c r="N3" s="4" t="s">
        <v>18</v>
      </c>
      <c r="O3" s="4">
        <v>39.817</v>
      </c>
      <c r="P3" s="4">
        <v>4</v>
      </c>
      <c r="Q3" s="4">
        <v>4</v>
      </c>
      <c r="R3" s="4" t="s">
        <v>502</v>
      </c>
      <c r="S3" s="4" t="s">
        <v>551</v>
      </c>
      <c r="T3" s="4" t="s">
        <v>551</v>
      </c>
      <c r="V3" s="4">
        <v>5410</v>
      </c>
      <c r="W3" s="4">
        <v>6.5667114419095167</v>
      </c>
    </row>
    <row r="4" spans="1:24" ht="14.5" customHeight="1" x14ac:dyDescent="0.3">
      <c r="A4" s="4" t="s">
        <v>282</v>
      </c>
      <c r="B4" s="4" t="s">
        <v>281</v>
      </c>
      <c r="C4" s="4">
        <v>2006</v>
      </c>
      <c r="D4" s="4" t="s">
        <v>93</v>
      </c>
      <c r="E4" s="4" t="s">
        <v>102</v>
      </c>
      <c r="F4" s="4" t="s">
        <v>53</v>
      </c>
      <c r="G4" s="4" t="s">
        <v>121</v>
      </c>
      <c r="H4" s="4" t="s">
        <v>20</v>
      </c>
      <c r="I4" s="4" t="s">
        <v>21</v>
      </c>
      <c r="J4" s="4" t="s">
        <v>38</v>
      </c>
      <c r="K4" s="4" t="s">
        <v>25</v>
      </c>
      <c r="L4" s="4" t="s">
        <v>74</v>
      </c>
      <c r="M4" s="4" t="s">
        <v>259</v>
      </c>
      <c r="N4" s="4" t="s">
        <v>41</v>
      </c>
      <c r="O4" s="4">
        <v>67.745900000000006</v>
      </c>
      <c r="P4" s="4">
        <v>48</v>
      </c>
      <c r="Q4" s="4">
        <v>9</v>
      </c>
      <c r="R4" s="4" t="s">
        <v>426</v>
      </c>
      <c r="S4" s="4" t="s">
        <v>454</v>
      </c>
      <c r="T4" s="4" t="s">
        <v>553</v>
      </c>
      <c r="U4" s="4">
        <f>3500/148</f>
        <v>23.648648648648649</v>
      </c>
      <c r="V4" s="4">
        <v>800</v>
      </c>
      <c r="W4" s="4">
        <v>6.2577484804202994</v>
      </c>
    </row>
    <row r="5" spans="1:24" ht="14.5" customHeight="1" x14ac:dyDescent="0.3">
      <c r="A5" s="4" t="s">
        <v>138</v>
      </c>
      <c r="B5" s="4" t="s">
        <v>139</v>
      </c>
      <c r="C5" s="4">
        <v>2020</v>
      </c>
      <c r="D5" s="4" t="s">
        <v>93</v>
      </c>
      <c r="E5" s="4" t="s">
        <v>562</v>
      </c>
      <c r="F5" s="4" t="s">
        <v>28</v>
      </c>
      <c r="G5" s="4" t="s">
        <v>140</v>
      </c>
      <c r="H5" s="4" t="s">
        <v>43</v>
      </c>
      <c r="I5" s="4" t="s">
        <v>32</v>
      </c>
      <c r="J5" s="4" t="s">
        <v>44</v>
      </c>
      <c r="K5" s="4" t="s">
        <v>137</v>
      </c>
      <c r="L5" s="4" t="s">
        <v>74</v>
      </c>
      <c r="M5" s="4" t="s">
        <v>143</v>
      </c>
      <c r="N5" s="4" t="s">
        <v>18</v>
      </c>
      <c r="O5" s="4">
        <v>29.196461383076077</v>
      </c>
      <c r="P5" s="4">
        <v>12</v>
      </c>
      <c r="Q5" s="4">
        <v>18</v>
      </c>
      <c r="R5" s="4" t="s">
        <v>436</v>
      </c>
      <c r="S5" s="4" t="s">
        <v>561</v>
      </c>
      <c r="T5" s="4" t="s">
        <v>552</v>
      </c>
      <c r="U5" s="4" t="s">
        <v>142</v>
      </c>
      <c r="V5" s="4">
        <v>7050</v>
      </c>
      <c r="W5" s="4">
        <v>6.5667114419095167</v>
      </c>
    </row>
    <row r="6" spans="1:24" ht="14.5" customHeight="1" x14ac:dyDescent="0.3">
      <c r="A6" s="4" t="s">
        <v>34</v>
      </c>
      <c r="B6" s="4" t="s">
        <v>35</v>
      </c>
      <c r="C6" s="4">
        <v>2019</v>
      </c>
      <c r="D6" s="4" t="s">
        <v>93</v>
      </c>
      <c r="E6" s="4" t="s">
        <v>108</v>
      </c>
      <c r="F6" s="4" t="s">
        <v>28</v>
      </c>
      <c r="G6" s="4" t="s">
        <v>36</v>
      </c>
      <c r="H6" s="4" t="s">
        <v>37</v>
      </c>
      <c r="I6" s="4" t="s">
        <v>32</v>
      </c>
      <c r="J6" s="4" t="s">
        <v>38</v>
      </c>
      <c r="K6" s="4" t="s">
        <v>22</v>
      </c>
      <c r="L6" s="4" t="s">
        <v>22</v>
      </c>
      <c r="M6" s="4" t="s">
        <v>109</v>
      </c>
      <c r="N6" s="4" t="s">
        <v>41</v>
      </c>
      <c r="O6" s="4">
        <v>79.230436578980289</v>
      </c>
      <c r="P6" s="4">
        <v>12</v>
      </c>
      <c r="Q6" s="4">
        <v>12</v>
      </c>
      <c r="R6" s="4" t="s">
        <v>506</v>
      </c>
      <c r="S6" s="4" t="s">
        <v>553</v>
      </c>
      <c r="T6" s="4" t="s">
        <v>553</v>
      </c>
      <c r="V6" s="4">
        <v>3870</v>
      </c>
      <c r="W6" s="4">
        <v>7.0907315329937743</v>
      </c>
    </row>
    <row r="7" spans="1:24" ht="14.5" customHeight="1" x14ac:dyDescent="0.3">
      <c r="A7" s="4" t="s">
        <v>206</v>
      </c>
      <c r="B7" s="4" t="s">
        <v>207</v>
      </c>
      <c r="C7" s="4">
        <v>2011</v>
      </c>
      <c r="D7" s="4" t="s">
        <v>93</v>
      </c>
      <c r="E7" s="4" t="s">
        <v>102</v>
      </c>
      <c r="F7" s="4" t="s">
        <v>28</v>
      </c>
      <c r="G7" s="4" t="s">
        <v>121</v>
      </c>
      <c r="H7" s="4" t="s">
        <v>190</v>
      </c>
      <c r="I7" s="4" t="s">
        <v>21</v>
      </c>
      <c r="J7" s="4" t="s">
        <v>38</v>
      </c>
      <c r="K7" s="4" t="s">
        <v>22</v>
      </c>
      <c r="L7" s="4" t="s">
        <v>31</v>
      </c>
      <c r="M7" s="4" t="s">
        <v>133</v>
      </c>
      <c r="N7" s="4" t="s">
        <v>41</v>
      </c>
      <c r="O7" s="4">
        <v>25.4</v>
      </c>
      <c r="P7" s="4">
        <v>12</v>
      </c>
      <c r="Q7" s="4">
        <v>9</v>
      </c>
      <c r="R7" s="4" t="s">
        <v>408</v>
      </c>
      <c r="S7" s="4" t="s">
        <v>442</v>
      </c>
      <c r="T7" s="4" t="s">
        <v>553</v>
      </c>
      <c r="V7" s="4">
        <v>1190</v>
      </c>
      <c r="W7" s="4">
        <v>6.2577484804202994</v>
      </c>
    </row>
    <row r="8" spans="1:24" ht="14.5" customHeight="1" x14ac:dyDescent="0.3">
      <c r="A8" s="4" t="s">
        <v>212</v>
      </c>
      <c r="B8" s="4" t="s">
        <v>213</v>
      </c>
      <c r="C8" s="4">
        <v>1978</v>
      </c>
      <c r="D8" s="4" t="s">
        <v>93</v>
      </c>
      <c r="E8" s="4" t="s">
        <v>108</v>
      </c>
      <c r="F8" s="4" t="s">
        <v>171</v>
      </c>
      <c r="G8" s="4" t="s">
        <v>67</v>
      </c>
      <c r="H8" s="4" t="s">
        <v>214</v>
      </c>
      <c r="I8" s="4" t="s">
        <v>42</v>
      </c>
      <c r="J8" s="4" t="s">
        <v>22</v>
      </c>
      <c r="K8" s="4" t="s">
        <v>25</v>
      </c>
      <c r="L8" s="4" t="s">
        <v>59</v>
      </c>
      <c r="M8" s="4" t="s">
        <v>133</v>
      </c>
      <c r="N8" s="4" t="s">
        <v>18</v>
      </c>
      <c r="O8" s="4">
        <v>56.32</v>
      </c>
      <c r="P8" s="4">
        <v>12</v>
      </c>
      <c r="Q8" s="4">
        <v>23</v>
      </c>
      <c r="R8" s="4" t="s">
        <v>495</v>
      </c>
      <c r="S8" s="4" t="s">
        <v>553</v>
      </c>
      <c r="T8" s="4" t="s">
        <v>553</v>
      </c>
      <c r="V8" s="4">
        <v>9050</v>
      </c>
      <c r="W8" s="4">
        <v>7.0907315329937743</v>
      </c>
    </row>
    <row r="9" spans="1:24" ht="14.5" customHeight="1" x14ac:dyDescent="0.3">
      <c r="A9" s="13" t="s">
        <v>106</v>
      </c>
      <c r="B9" s="13" t="s">
        <v>107</v>
      </c>
      <c r="C9" s="13">
        <v>2015</v>
      </c>
      <c r="D9" s="13" t="s">
        <v>93</v>
      </c>
      <c r="E9" s="13" t="s">
        <v>562</v>
      </c>
      <c r="F9" s="13" t="s">
        <v>47</v>
      </c>
      <c r="G9" s="13" t="s">
        <v>67</v>
      </c>
      <c r="H9" s="13" t="s">
        <v>80</v>
      </c>
      <c r="I9" s="13" t="s">
        <v>21</v>
      </c>
      <c r="J9" s="13" t="s">
        <v>44</v>
      </c>
      <c r="K9" s="13" t="s">
        <v>25</v>
      </c>
      <c r="L9" s="13" t="s">
        <v>31</v>
      </c>
      <c r="M9" s="13" t="s">
        <v>103</v>
      </c>
      <c r="N9" s="13" t="s">
        <v>41</v>
      </c>
      <c r="O9" s="13">
        <v>25.783463164854531</v>
      </c>
      <c r="P9" s="13">
        <v>36</v>
      </c>
      <c r="Q9" s="13">
        <v>36</v>
      </c>
      <c r="R9" s="13" t="s">
        <v>428</v>
      </c>
      <c r="S9" s="13" t="s">
        <v>455</v>
      </c>
      <c r="T9" s="13" t="s">
        <v>553</v>
      </c>
      <c r="U9" s="13" t="s">
        <v>95</v>
      </c>
      <c r="V9" s="13">
        <v>10580</v>
      </c>
      <c r="W9" s="4">
        <v>6.5667114419095167</v>
      </c>
    </row>
    <row r="10" spans="1:24" ht="14.5" customHeight="1" x14ac:dyDescent="0.3">
      <c r="A10" s="4" t="s">
        <v>530</v>
      </c>
      <c r="B10" s="4" t="s">
        <v>537</v>
      </c>
      <c r="C10" s="4">
        <v>2014</v>
      </c>
      <c r="D10" s="4" t="s">
        <v>93</v>
      </c>
      <c r="E10" s="4" t="s">
        <v>562</v>
      </c>
      <c r="F10" s="4" t="s">
        <v>28</v>
      </c>
      <c r="G10" s="4" t="s">
        <v>36</v>
      </c>
      <c r="H10" s="4" t="s">
        <v>30</v>
      </c>
      <c r="I10" s="4" t="s">
        <v>32</v>
      </c>
      <c r="J10" s="4" t="s">
        <v>44</v>
      </c>
      <c r="K10" s="4" t="s">
        <v>25</v>
      </c>
      <c r="L10" s="4" t="s">
        <v>568</v>
      </c>
      <c r="M10" s="4" t="s">
        <v>109</v>
      </c>
      <c r="N10" s="4" t="s">
        <v>41</v>
      </c>
      <c r="O10" s="4">
        <v>22.05</v>
      </c>
      <c r="P10" s="4">
        <v>84</v>
      </c>
      <c r="Q10" s="4">
        <v>84</v>
      </c>
      <c r="R10" s="4" t="s">
        <v>531</v>
      </c>
      <c r="S10" s="4" t="s">
        <v>551</v>
      </c>
      <c r="T10" s="4" t="s">
        <v>551</v>
      </c>
      <c r="V10" s="4">
        <v>1900</v>
      </c>
      <c r="W10" s="4">
        <v>6.5667114419095167</v>
      </c>
    </row>
    <row r="11" spans="1:24" ht="14.5" customHeight="1" x14ac:dyDescent="0.3">
      <c r="A11" s="4" t="s">
        <v>152</v>
      </c>
      <c r="B11" s="4" t="s">
        <v>153</v>
      </c>
      <c r="C11" s="4">
        <v>2020</v>
      </c>
      <c r="D11" s="4" t="s">
        <v>93</v>
      </c>
      <c r="E11" s="4" t="s">
        <v>562</v>
      </c>
      <c r="F11" s="4" t="s">
        <v>42</v>
      </c>
      <c r="G11" s="4" t="s">
        <v>19</v>
      </c>
      <c r="H11" s="4" t="s">
        <v>156</v>
      </c>
      <c r="I11" s="4" t="s">
        <v>114</v>
      </c>
      <c r="J11" s="4" t="s">
        <v>44</v>
      </c>
      <c r="K11" s="4" t="s">
        <v>25</v>
      </c>
      <c r="L11" s="4" t="s">
        <v>31</v>
      </c>
      <c r="M11" s="4" t="s">
        <v>155</v>
      </c>
      <c r="N11" s="4" t="s">
        <v>18</v>
      </c>
      <c r="O11" s="4">
        <v>18.99804839165061</v>
      </c>
      <c r="P11" s="4">
        <v>12</v>
      </c>
      <c r="Q11" s="4">
        <v>23</v>
      </c>
      <c r="R11" s="4" t="s">
        <v>520</v>
      </c>
      <c r="S11" s="4" t="s">
        <v>551</v>
      </c>
      <c r="T11" s="4" t="s">
        <v>551</v>
      </c>
      <c r="V11" s="4">
        <v>8480</v>
      </c>
      <c r="W11" s="4">
        <v>6.5667114419095167</v>
      </c>
    </row>
    <row r="12" spans="1:24" ht="14.5" customHeight="1" x14ac:dyDescent="0.3">
      <c r="A12" s="4" t="s">
        <v>144</v>
      </c>
      <c r="B12" s="4" t="s">
        <v>145</v>
      </c>
      <c r="C12" s="4">
        <v>2020</v>
      </c>
      <c r="D12" s="4" t="s">
        <v>93</v>
      </c>
      <c r="E12" s="4" t="s">
        <v>102</v>
      </c>
      <c r="F12" s="4" t="s">
        <v>42</v>
      </c>
      <c r="G12" s="4" t="s">
        <v>146</v>
      </c>
      <c r="H12" s="4" t="s">
        <v>30</v>
      </c>
      <c r="I12" s="4" t="s">
        <v>32</v>
      </c>
      <c r="J12" s="4" t="s">
        <v>44</v>
      </c>
      <c r="K12" s="4" t="s">
        <v>137</v>
      </c>
      <c r="L12" s="4" t="s">
        <v>74</v>
      </c>
      <c r="M12" s="4" t="s">
        <v>103</v>
      </c>
      <c r="N12" s="4" t="s">
        <v>18</v>
      </c>
      <c r="O12" s="4">
        <v>24.93037120982342</v>
      </c>
      <c r="P12" s="4">
        <v>24</v>
      </c>
      <c r="Q12" s="4">
        <v>12</v>
      </c>
      <c r="R12" s="4" t="s">
        <v>437</v>
      </c>
      <c r="T12" s="4" t="s">
        <v>553</v>
      </c>
      <c r="V12" s="4">
        <v>1900</v>
      </c>
      <c r="W12" s="4">
        <v>6.2577484804202994</v>
      </c>
    </row>
    <row r="13" spans="1:24" ht="14.5" customHeight="1" x14ac:dyDescent="0.3">
      <c r="A13" s="4" t="s">
        <v>243</v>
      </c>
      <c r="B13" s="4" t="s">
        <v>241</v>
      </c>
      <c r="C13" s="4">
        <v>2013</v>
      </c>
      <c r="D13" s="4" t="s">
        <v>93</v>
      </c>
      <c r="E13" s="4" t="s">
        <v>102</v>
      </c>
      <c r="F13" s="4" t="s">
        <v>47</v>
      </c>
      <c r="G13" s="4" t="s">
        <v>67</v>
      </c>
      <c r="H13" s="4" t="s">
        <v>242</v>
      </c>
      <c r="I13" s="4" t="s">
        <v>21</v>
      </c>
      <c r="J13" s="4" t="s">
        <v>31</v>
      </c>
      <c r="K13" s="4" t="s">
        <v>137</v>
      </c>
      <c r="L13" s="4" t="s">
        <v>31</v>
      </c>
      <c r="M13" s="4" t="s">
        <v>133</v>
      </c>
      <c r="N13" s="4" t="s">
        <v>41</v>
      </c>
      <c r="O13" s="4">
        <v>19.667999999999999</v>
      </c>
      <c r="P13" s="4">
        <v>12</v>
      </c>
      <c r="Q13" s="4">
        <v>12</v>
      </c>
      <c r="R13" s="4" t="s">
        <v>412</v>
      </c>
      <c r="S13" s="4" t="s">
        <v>445</v>
      </c>
      <c r="T13" s="4" t="s">
        <v>553</v>
      </c>
      <c r="V13" s="4">
        <v>580</v>
      </c>
      <c r="W13" s="4">
        <v>6.2577484804202994</v>
      </c>
    </row>
    <row r="14" spans="1:24" ht="14.5" customHeight="1" x14ac:dyDescent="0.3">
      <c r="A14" s="4" t="s">
        <v>118</v>
      </c>
      <c r="B14" s="4" t="s">
        <v>119</v>
      </c>
      <c r="C14" s="4">
        <v>2018</v>
      </c>
      <c r="D14" s="4" t="s">
        <v>93</v>
      </c>
      <c r="E14" s="4" t="s">
        <v>108</v>
      </c>
      <c r="F14" s="4" t="s">
        <v>28</v>
      </c>
      <c r="G14" s="4" t="s">
        <v>121</v>
      </c>
      <c r="H14" s="4" t="s">
        <v>120</v>
      </c>
      <c r="I14" s="4" t="s">
        <v>21</v>
      </c>
      <c r="J14" s="4" t="s">
        <v>24</v>
      </c>
      <c r="K14" s="4" t="s">
        <v>25</v>
      </c>
      <c r="L14" s="4" t="s">
        <v>31</v>
      </c>
      <c r="M14" s="4" t="s">
        <v>122</v>
      </c>
      <c r="N14" s="4" t="s">
        <v>18</v>
      </c>
      <c r="O14" s="4">
        <v>56.244222212123518</v>
      </c>
      <c r="P14" s="4">
        <v>12</v>
      </c>
      <c r="Q14" s="4">
        <v>12</v>
      </c>
      <c r="R14" s="4" t="s">
        <v>507</v>
      </c>
      <c r="S14" s="4" t="s">
        <v>553</v>
      </c>
      <c r="T14" s="4" t="s">
        <v>553</v>
      </c>
      <c r="V14" s="4">
        <v>5410</v>
      </c>
      <c r="W14" s="4">
        <v>7.0907315329937743</v>
      </c>
    </row>
    <row r="15" spans="1:24" ht="14.5" customHeight="1" x14ac:dyDescent="0.3">
      <c r="A15" s="4" t="s">
        <v>180</v>
      </c>
      <c r="B15" s="4" t="s">
        <v>181</v>
      </c>
      <c r="C15" s="4">
        <v>2017</v>
      </c>
      <c r="D15" s="4" t="s">
        <v>93</v>
      </c>
      <c r="E15" s="4" t="s">
        <v>562</v>
      </c>
      <c r="F15" s="4" t="s">
        <v>47</v>
      </c>
      <c r="G15" s="4" t="s">
        <v>67</v>
      </c>
      <c r="H15" s="4" t="s">
        <v>30</v>
      </c>
      <c r="I15" s="4" t="s">
        <v>32</v>
      </c>
      <c r="J15" s="4" t="s">
        <v>44</v>
      </c>
      <c r="K15" s="4" t="s">
        <v>25</v>
      </c>
      <c r="L15" s="4" t="s">
        <v>59</v>
      </c>
      <c r="M15" s="4" t="s">
        <v>133</v>
      </c>
      <c r="N15" s="4" t="s">
        <v>18</v>
      </c>
      <c r="O15" s="4">
        <v>16.38</v>
      </c>
      <c r="P15" s="4">
        <v>36</v>
      </c>
      <c r="Q15" s="4">
        <v>34</v>
      </c>
      <c r="R15" s="4" t="s">
        <v>404</v>
      </c>
      <c r="S15" s="4" t="s">
        <v>438</v>
      </c>
      <c r="T15" s="4" t="s">
        <v>551</v>
      </c>
      <c r="V15" s="4">
        <v>1900</v>
      </c>
      <c r="W15" s="4">
        <v>6.5667114419095167</v>
      </c>
    </row>
    <row r="16" spans="1:24" ht="14.5" customHeight="1" x14ac:dyDescent="0.3">
      <c r="A16" s="4" t="s">
        <v>194</v>
      </c>
      <c r="B16" s="4" t="s">
        <v>195</v>
      </c>
      <c r="C16" s="4">
        <v>2006</v>
      </c>
      <c r="D16" s="4" t="s">
        <v>93</v>
      </c>
      <c r="E16" s="4" t="s">
        <v>562</v>
      </c>
      <c r="F16" s="4" t="s">
        <v>47</v>
      </c>
      <c r="G16" s="4" t="s">
        <v>132</v>
      </c>
      <c r="H16" s="4" t="s">
        <v>196</v>
      </c>
      <c r="I16" s="4" t="s">
        <v>21</v>
      </c>
      <c r="J16" s="4" t="s">
        <v>31</v>
      </c>
      <c r="K16" s="4" t="s">
        <v>25</v>
      </c>
      <c r="L16" s="4" t="s">
        <v>31</v>
      </c>
      <c r="M16" s="4" t="s">
        <v>103</v>
      </c>
      <c r="N16" s="4" t="s">
        <v>18</v>
      </c>
      <c r="O16" s="4">
        <v>13.73</v>
      </c>
      <c r="P16" s="4">
        <v>22</v>
      </c>
      <c r="Q16" s="4">
        <v>16</v>
      </c>
      <c r="R16" s="4" t="s">
        <v>515</v>
      </c>
      <c r="S16" s="4" t="s">
        <v>551</v>
      </c>
      <c r="T16" s="4" t="s">
        <v>551</v>
      </c>
      <c r="V16" s="4">
        <v>480</v>
      </c>
      <c r="W16" s="4">
        <v>6.5667114419095167</v>
      </c>
    </row>
    <row r="17" spans="1:23" ht="14.5" customHeight="1" x14ac:dyDescent="0.3">
      <c r="A17" s="4" t="s">
        <v>328</v>
      </c>
      <c r="B17" s="4" t="s">
        <v>248</v>
      </c>
      <c r="C17" s="4">
        <v>2011</v>
      </c>
      <c r="D17" s="4" t="s">
        <v>93</v>
      </c>
      <c r="E17" s="4" t="s">
        <v>108</v>
      </c>
      <c r="F17" s="4" t="s">
        <v>28</v>
      </c>
      <c r="G17" s="4" t="s">
        <v>19</v>
      </c>
      <c r="H17" s="4" t="s">
        <v>249</v>
      </c>
      <c r="I17" s="4" t="s">
        <v>21</v>
      </c>
      <c r="J17" s="4" t="s">
        <v>31</v>
      </c>
      <c r="K17" s="4" t="s">
        <v>25</v>
      </c>
      <c r="L17" s="4" t="s">
        <v>31</v>
      </c>
      <c r="M17" s="4" t="s">
        <v>205</v>
      </c>
      <c r="N17" s="4" t="s">
        <v>41</v>
      </c>
      <c r="O17" s="4">
        <v>32.808999999999997</v>
      </c>
      <c r="P17" s="4">
        <v>12</v>
      </c>
      <c r="Q17" s="4">
        <v>11</v>
      </c>
      <c r="R17" s="4" t="s">
        <v>500</v>
      </c>
      <c r="S17" s="4" t="s">
        <v>551</v>
      </c>
      <c r="T17" s="4" t="s">
        <v>551</v>
      </c>
      <c r="V17" s="4">
        <v>890</v>
      </c>
      <c r="W17" s="4">
        <v>7.0907315329937743</v>
      </c>
    </row>
    <row r="18" spans="1:23" ht="14.5" customHeight="1" x14ac:dyDescent="0.3">
      <c r="A18" s="4" t="s">
        <v>345</v>
      </c>
      <c r="B18" s="4" t="s">
        <v>281</v>
      </c>
      <c r="C18" s="4">
        <v>2005</v>
      </c>
      <c r="D18" s="4" t="s">
        <v>93</v>
      </c>
      <c r="E18" s="4" t="s">
        <v>102</v>
      </c>
      <c r="F18" s="4" t="s">
        <v>53</v>
      </c>
      <c r="G18" s="4" t="s">
        <v>121</v>
      </c>
      <c r="H18" s="4" t="s">
        <v>100</v>
      </c>
      <c r="I18" s="4" t="s">
        <v>21</v>
      </c>
      <c r="J18" s="4" t="s">
        <v>38</v>
      </c>
      <c r="K18" s="4" t="s">
        <v>25</v>
      </c>
      <c r="L18" s="4" t="s">
        <v>74</v>
      </c>
      <c r="M18" s="4" t="s">
        <v>259</v>
      </c>
      <c r="N18" s="4" t="s">
        <v>41</v>
      </c>
      <c r="O18" s="4">
        <v>19.274000000000001</v>
      </c>
      <c r="P18" s="4">
        <v>36</v>
      </c>
      <c r="Q18" s="4">
        <v>9</v>
      </c>
      <c r="R18" s="4" t="s">
        <v>425</v>
      </c>
      <c r="S18" s="4" t="s">
        <v>452</v>
      </c>
      <c r="T18" s="4" t="s">
        <v>551</v>
      </c>
      <c r="V18" s="4">
        <v>1080</v>
      </c>
      <c r="W18" s="4">
        <v>6.2577484804202994</v>
      </c>
    </row>
    <row r="19" spans="1:23" ht="14.5" customHeight="1" x14ac:dyDescent="0.3">
      <c r="A19" s="4" t="s">
        <v>558</v>
      </c>
      <c r="B19" s="4" t="s">
        <v>101</v>
      </c>
      <c r="C19" s="4">
        <v>2019</v>
      </c>
      <c r="D19" s="4" t="s">
        <v>93</v>
      </c>
      <c r="E19" s="4" t="s">
        <v>102</v>
      </c>
      <c r="F19" s="4" t="s">
        <v>47</v>
      </c>
      <c r="G19" s="4" t="s">
        <v>67</v>
      </c>
      <c r="H19" s="4" t="s">
        <v>30</v>
      </c>
      <c r="I19" s="4" t="s">
        <v>32</v>
      </c>
      <c r="J19" s="4" t="s">
        <v>44</v>
      </c>
      <c r="K19" s="4" t="s">
        <v>25</v>
      </c>
      <c r="L19" s="4" t="s">
        <v>22</v>
      </c>
      <c r="M19" s="4" t="s">
        <v>105</v>
      </c>
      <c r="N19" s="4" t="s">
        <v>18</v>
      </c>
      <c r="O19" s="4">
        <v>19.230144717520854</v>
      </c>
      <c r="P19" s="4">
        <v>18</v>
      </c>
      <c r="Q19" s="4">
        <v>48</v>
      </c>
      <c r="R19" s="4" t="s">
        <v>427</v>
      </c>
      <c r="S19" s="4" t="s">
        <v>555</v>
      </c>
      <c r="T19" s="4" t="s">
        <v>553</v>
      </c>
      <c r="U19" s="4" t="s">
        <v>71</v>
      </c>
      <c r="V19" s="4">
        <v>1900</v>
      </c>
      <c r="W19" s="4">
        <v>6.2577484804202994</v>
      </c>
    </row>
    <row r="20" spans="1:23" ht="14.5" customHeight="1" x14ac:dyDescent="0.3">
      <c r="A20" s="4" t="s">
        <v>97</v>
      </c>
      <c r="B20" s="4" t="s">
        <v>96</v>
      </c>
      <c r="C20" s="4">
        <v>2020</v>
      </c>
      <c r="D20" s="4" t="s">
        <v>93</v>
      </c>
      <c r="E20" s="4" t="s">
        <v>562</v>
      </c>
      <c r="F20" s="4" t="s">
        <v>53</v>
      </c>
      <c r="G20" s="4" t="s">
        <v>19</v>
      </c>
      <c r="H20" s="4" t="s">
        <v>49</v>
      </c>
      <c r="I20" s="4" t="s">
        <v>21</v>
      </c>
      <c r="J20" s="4" t="s">
        <v>44</v>
      </c>
      <c r="K20" s="4" t="s">
        <v>25</v>
      </c>
      <c r="L20" s="4" t="s">
        <v>22</v>
      </c>
      <c r="M20" s="4" t="s">
        <v>98</v>
      </c>
      <c r="N20" s="4" t="s">
        <v>18</v>
      </c>
      <c r="O20" s="4">
        <v>12</v>
      </c>
      <c r="P20" s="4">
        <v>12</v>
      </c>
      <c r="Q20" s="4">
        <v>28</v>
      </c>
      <c r="R20" s="4" t="s">
        <v>518</v>
      </c>
      <c r="S20" s="4" t="s">
        <v>553</v>
      </c>
      <c r="T20" s="4" t="s">
        <v>553</v>
      </c>
      <c r="U20" s="4" t="s">
        <v>99</v>
      </c>
      <c r="V20" s="4">
        <v>790</v>
      </c>
      <c r="W20" s="4">
        <v>6.5667114419095167</v>
      </c>
    </row>
    <row r="21" spans="1:23" ht="14.5" customHeight="1" x14ac:dyDescent="0.3">
      <c r="A21" s="4" t="s">
        <v>192</v>
      </c>
      <c r="B21" s="4" t="s">
        <v>193</v>
      </c>
      <c r="C21" s="4">
        <v>2013</v>
      </c>
      <c r="D21" s="4" t="s">
        <v>93</v>
      </c>
      <c r="E21" s="4" t="s">
        <v>102</v>
      </c>
      <c r="F21" s="4" t="s">
        <v>28</v>
      </c>
      <c r="G21" s="4" t="s">
        <v>19</v>
      </c>
      <c r="H21" s="4" t="s">
        <v>20</v>
      </c>
      <c r="I21" s="4" t="s">
        <v>21</v>
      </c>
      <c r="J21" s="4" t="s">
        <v>31</v>
      </c>
      <c r="K21" s="4" t="s">
        <v>22</v>
      </c>
      <c r="L21" s="4" t="s">
        <v>59</v>
      </c>
      <c r="M21" s="4" t="s">
        <v>103</v>
      </c>
      <c r="N21" s="4" t="s">
        <v>18</v>
      </c>
      <c r="O21" s="4">
        <v>19.04</v>
      </c>
      <c r="P21" s="4">
        <v>12</v>
      </c>
      <c r="Q21" s="4">
        <v>26</v>
      </c>
      <c r="R21" s="4" t="s">
        <v>406</v>
      </c>
      <c r="S21" s="4" t="s">
        <v>441</v>
      </c>
      <c r="T21" s="4" t="s">
        <v>553</v>
      </c>
      <c r="V21" s="4">
        <v>800</v>
      </c>
      <c r="W21" s="4">
        <v>6.2577484804202994</v>
      </c>
    </row>
    <row r="22" spans="1:23" ht="14.5" customHeight="1" x14ac:dyDescent="0.3">
      <c r="A22" s="4" t="s">
        <v>332</v>
      </c>
      <c r="B22" s="4" t="s">
        <v>257</v>
      </c>
      <c r="C22" s="4">
        <v>2018</v>
      </c>
      <c r="D22" s="4" t="s">
        <v>93</v>
      </c>
      <c r="E22" s="4" t="s">
        <v>108</v>
      </c>
      <c r="F22" s="4" t="s">
        <v>47</v>
      </c>
      <c r="G22" s="4" t="s">
        <v>132</v>
      </c>
      <c r="H22" s="4" t="s">
        <v>30</v>
      </c>
      <c r="I22" s="4" t="s">
        <v>32</v>
      </c>
      <c r="J22" s="4" t="s">
        <v>44</v>
      </c>
      <c r="K22" s="4" t="s">
        <v>25</v>
      </c>
      <c r="L22" s="4" t="s">
        <v>31</v>
      </c>
      <c r="M22" s="4" t="s">
        <v>205</v>
      </c>
      <c r="N22" s="4" t="s">
        <v>18</v>
      </c>
      <c r="O22" s="4">
        <v>25.422999999999998</v>
      </c>
      <c r="P22" s="4">
        <v>7</v>
      </c>
      <c r="Q22" s="4">
        <v>1</v>
      </c>
      <c r="R22" s="4" t="s">
        <v>501</v>
      </c>
      <c r="S22" s="4" t="s">
        <v>551</v>
      </c>
      <c r="T22" s="4" t="s">
        <v>551</v>
      </c>
      <c r="V22" s="4">
        <v>1900</v>
      </c>
      <c r="W22" s="4">
        <v>7.0907315329937743</v>
      </c>
    </row>
    <row r="23" spans="1:23" ht="14.5" customHeight="1" x14ac:dyDescent="0.3">
      <c r="A23" s="4" t="s">
        <v>123</v>
      </c>
      <c r="B23" s="4" t="s">
        <v>124</v>
      </c>
      <c r="C23" s="4">
        <v>2018</v>
      </c>
      <c r="D23" s="4" t="s">
        <v>93</v>
      </c>
      <c r="E23" s="4" t="s">
        <v>108</v>
      </c>
      <c r="F23" s="4" t="s">
        <v>47</v>
      </c>
      <c r="G23" s="4" t="s">
        <v>112</v>
      </c>
      <c r="H23" s="4" t="s">
        <v>125</v>
      </c>
      <c r="I23" s="4" t="s">
        <v>21</v>
      </c>
      <c r="J23" s="4" t="s">
        <v>24</v>
      </c>
      <c r="K23" s="4" t="s">
        <v>25</v>
      </c>
      <c r="L23" s="4" t="s">
        <v>31</v>
      </c>
      <c r="M23" s="4" t="s">
        <v>103</v>
      </c>
      <c r="N23" s="4" t="s">
        <v>41</v>
      </c>
      <c r="O23" s="4">
        <v>17.518395499693145</v>
      </c>
      <c r="P23" s="4">
        <v>24</v>
      </c>
      <c r="Q23" s="4">
        <v>24</v>
      </c>
      <c r="R23" s="4" t="s">
        <v>508</v>
      </c>
      <c r="S23" s="4" t="s">
        <v>551</v>
      </c>
      <c r="T23" s="4" t="s">
        <v>551</v>
      </c>
      <c r="V23" s="4">
        <v>490</v>
      </c>
      <c r="W23" s="4">
        <v>7.0907315329937743</v>
      </c>
    </row>
    <row r="24" spans="1:23" ht="14.5" customHeight="1" x14ac:dyDescent="0.3">
      <c r="A24" s="4" t="s">
        <v>317</v>
      </c>
      <c r="B24" s="4" t="s">
        <v>220</v>
      </c>
      <c r="C24" s="4">
        <v>2006</v>
      </c>
      <c r="D24" s="4" t="s">
        <v>15</v>
      </c>
      <c r="E24" s="4" t="s">
        <v>29</v>
      </c>
      <c r="F24" s="4" t="s">
        <v>47</v>
      </c>
      <c r="G24" s="4" t="s">
        <v>67</v>
      </c>
      <c r="H24" s="4" t="s">
        <v>58</v>
      </c>
      <c r="I24" s="4" t="s">
        <v>32</v>
      </c>
      <c r="J24" s="4" t="s">
        <v>44</v>
      </c>
      <c r="K24" s="4" t="s">
        <v>33</v>
      </c>
      <c r="L24" s="4" t="s">
        <v>31</v>
      </c>
      <c r="M24" s="4" t="s">
        <v>175</v>
      </c>
      <c r="N24" s="4" t="s">
        <v>18</v>
      </c>
      <c r="O24" s="4">
        <v>2.0070000000000001</v>
      </c>
      <c r="P24" s="4">
        <v>36</v>
      </c>
      <c r="Q24" s="4">
        <v>36</v>
      </c>
      <c r="R24" s="4" t="s">
        <v>313</v>
      </c>
      <c r="S24" s="4" t="s">
        <v>470</v>
      </c>
      <c r="T24" s="4" t="s">
        <v>553</v>
      </c>
      <c r="V24" s="4">
        <v>2010</v>
      </c>
      <c r="W24" s="4">
        <v>0.37550651326437307</v>
      </c>
    </row>
    <row r="25" spans="1:23" ht="14.5" customHeight="1" x14ac:dyDescent="0.3">
      <c r="A25" s="4" t="s">
        <v>271</v>
      </c>
      <c r="B25" s="4" t="s">
        <v>270</v>
      </c>
      <c r="C25" s="4">
        <v>2013</v>
      </c>
      <c r="D25" s="4" t="s">
        <v>15</v>
      </c>
      <c r="E25" s="4" t="s">
        <v>29</v>
      </c>
      <c r="F25" s="4" t="s">
        <v>47</v>
      </c>
      <c r="G25" s="4" t="s">
        <v>67</v>
      </c>
      <c r="H25" s="4" t="s">
        <v>58</v>
      </c>
      <c r="I25" s="4" t="s">
        <v>32</v>
      </c>
      <c r="J25" s="4" t="s">
        <v>44</v>
      </c>
      <c r="K25" s="4" t="s">
        <v>25</v>
      </c>
      <c r="L25" s="4" t="s">
        <v>74</v>
      </c>
      <c r="M25" s="4" t="s">
        <v>262</v>
      </c>
      <c r="N25" s="4" t="s">
        <v>18</v>
      </c>
      <c r="O25" s="4">
        <v>0.69464400000000004</v>
      </c>
      <c r="P25" s="4">
        <v>5</v>
      </c>
      <c r="Q25" s="4">
        <v>5</v>
      </c>
      <c r="R25" s="4" t="s">
        <v>339</v>
      </c>
      <c r="S25" s="4" t="s">
        <v>482</v>
      </c>
      <c r="T25" s="4" t="s">
        <v>553</v>
      </c>
      <c r="V25" s="4">
        <v>2010</v>
      </c>
      <c r="W25" s="4">
        <v>0.37550651326437307</v>
      </c>
    </row>
    <row r="26" spans="1:23" ht="14.5" customHeight="1" x14ac:dyDescent="0.3">
      <c r="A26" s="4" t="s">
        <v>353</v>
      </c>
      <c r="B26" s="4" t="s">
        <v>290</v>
      </c>
      <c r="C26" s="4">
        <v>1990</v>
      </c>
      <c r="D26" s="4" t="s">
        <v>15</v>
      </c>
      <c r="E26" s="4" t="s">
        <v>29</v>
      </c>
      <c r="F26" s="4" t="s">
        <v>171</v>
      </c>
      <c r="G26" s="4" t="s">
        <v>67</v>
      </c>
      <c r="H26" s="4" t="s">
        <v>214</v>
      </c>
      <c r="I26" s="4" t="s">
        <v>42</v>
      </c>
      <c r="J26" s="4" t="s">
        <v>31</v>
      </c>
      <c r="K26" s="4" t="s">
        <v>33</v>
      </c>
      <c r="L26" s="4" t="s">
        <v>31</v>
      </c>
      <c r="M26" s="4" t="s">
        <v>175</v>
      </c>
      <c r="N26" s="4" t="s">
        <v>41</v>
      </c>
      <c r="O26" s="4">
        <v>0.67049999999999998</v>
      </c>
      <c r="P26" s="4">
        <v>3</v>
      </c>
      <c r="Q26" s="4">
        <v>3</v>
      </c>
      <c r="R26" s="4" t="s">
        <v>355</v>
      </c>
      <c r="S26" s="4" t="s">
        <v>486</v>
      </c>
      <c r="T26" s="4" t="s">
        <v>553</v>
      </c>
      <c r="V26" s="4">
        <v>9050</v>
      </c>
      <c r="W26" s="4">
        <v>0.37550651326437307</v>
      </c>
    </row>
    <row r="27" spans="1:23" ht="14.5" customHeight="1" x14ac:dyDescent="0.3">
      <c r="A27" s="4" t="s">
        <v>288</v>
      </c>
      <c r="B27" s="4" t="s">
        <v>286</v>
      </c>
      <c r="C27" s="4">
        <v>2006</v>
      </c>
      <c r="D27" s="4" t="s">
        <v>15</v>
      </c>
      <c r="E27" s="4" t="s">
        <v>29</v>
      </c>
      <c r="F27" s="4" t="s">
        <v>28</v>
      </c>
      <c r="G27" s="4" t="s">
        <v>36</v>
      </c>
      <c r="H27" s="4" t="s">
        <v>287</v>
      </c>
      <c r="I27" s="4" t="s">
        <v>42</v>
      </c>
      <c r="J27" s="4" t="s">
        <v>38</v>
      </c>
      <c r="K27" s="4" t="s">
        <v>137</v>
      </c>
      <c r="L27" s="4" t="s">
        <v>74</v>
      </c>
      <c r="M27" s="4" t="s">
        <v>262</v>
      </c>
      <c r="N27" s="4" t="s">
        <v>41</v>
      </c>
      <c r="O27" s="4">
        <v>0.61175000000000002</v>
      </c>
      <c r="P27" s="4">
        <v>12</v>
      </c>
      <c r="Q27" s="4">
        <v>12</v>
      </c>
      <c r="R27" s="4" t="s">
        <v>351</v>
      </c>
      <c r="S27" s="4" t="s">
        <v>485</v>
      </c>
      <c r="T27" s="4" t="s">
        <v>551</v>
      </c>
      <c r="V27" s="4">
        <v>3540</v>
      </c>
      <c r="W27" s="4">
        <v>0.37550651326437307</v>
      </c>
    </row>
    <row r="28" spans="1:23" ht="14.5" customHeight="1" x14ac:dyDescent="0.3">
      <c r="A28" s="4" t="s">
        <v>34</v>
      </c>
      <c r="B28" s="4" t="s">
        <v>35</v>
      </c>
      <c r="C28" s="4">
        <v>2019</v>
      </c>
      <c r="D28" s="4" t="s">
        <v>15</v>
      </c>
      <c r="E28" s="4" t="s">
        <v>29</v>
      </c>
      <c r="F28" s="4" t="s">
        <v>28</v>
      </c>
      <c r="G28" s="4" t="s">
        <v>36</v>
      </c>
      <c r="H28" s="4" t="s">
        <v>37</v>
      </c>
      <c r="I28" s="4" t="s">
        <v>32</v>
      </c>
      <c r="J28" s="4" t="s">
        <v>38</v>
      </c>
      <c r="K28" s="4" t="s">
        <v>22</v>
      </c>
      <c r="L28" s="4" t="s">
        <v>22</v>
      </c>
      <c r="M28" s="4" t="s">
        <v>39</v>
      </c>
      <c r="N28" s="4" t="s">
        <v>41</v>
      </c>
      <c r="O28" s="4">
        <v>0.548121576984264</v>
      </c>
      <c r="P28" s="4">
        <v>12</v>
      </c>
      <c r="Q28" s="4">
        <v>12</v>
      </c>
      <c r="R28" s="4" t="s">
        <v>360</v>
      </c>
      <c r="S28" s="4" t="s">
        <v>489</v>
      </c>
      <c r="T28" s="4" t="s">
        <v>551</v>
      </c>
      <c r="V28" s="4">
        <v>3870</v>
      </c>
      <c r="W28" s="4">
        <v>0.37550651326437307</v>
      </c>
    </row>
    <row r="29" spans="1:23" ht="14.5" customHeight="1" x14ac:dyDescent="0.3">
      <c r="A29" s="4" t="s">
        <v>26</v>
      </c>
      <c r="B29" s="4" t="s">
        <v>27</v>
      </c>
      <c r="C29" s="4">
        <v>2010</v>
      </c>
      <c r="D29" s="4" t="s">
        <v>15</v>
      </c>
      <c r="E29" s="4" t="s">
        <v>29</v>
      </c>
      <c r="F29" s="4" t="s">
        <v>28</v>
      </c>
      <c r="G29" s="4" t="s">
        <v>19</v>
      </c>
      <c r="H29" s="4" t="s">
        <v>30</v>
      </c>
      <c r="I29" s="4" t="s">
        <v>32</v>
      </c>
      <c r="J29" s="4" t="s">
        <v>31</v>
      </c>
      <c r="K29" s="4" t="s">
        <v>33</v>
      </c>
      <c r="L29" s="4" t="s">
        <v>31</v>
      </c>
      <c r="M29" s="4" t="s">
        <v>17</v>
      </c>
      <c r="N29" s="4" t="s">
        <v>18</v>
      </c>
      <c r="O29" s="4">
        <v>0.20289144954448213</v>
      </c>
      <c r="P29" s="4">
        <v>12</v>
      </c>
      <c r="Q29" s="4">
        <v>12</v>
      </c>
      <c r="R29" s="4" t="s">
        <v>359</v>
      </c>
      <c r="S29" s="4" t="s">
        <v>488</v>
      </c>
      <c r="T29" s="4" t="s">
        <v>551</v>
      </c>
      <c r="V29" s="4">
        <v>1900</v>
      </c>
      <c r="W29" s="4">
        <v>0.37550651326437307</v>
      </c>
    </row>
    <row r="30" spans="1:23" ht="14.5" customHeight="1" x14ac:dyDescent="0.3">
      <c r="A30" s="4" t="s">
        <v>317</v>
      </c>
      <c r="B30" s="4" t="s">
        <v>220</v>
      </c>
      <c r="C30" s="4">
        <v>2006</v>
      </c>
      <c r="D30" s="4" t="s">
        <v>15</v>
      </c>
      <c r="E30" s="4" t="s">
        <v>819</v>
      </c>
      <c r="F30" s="4" t="s">
        <v>47</v>
      </c>
      <c r="G30" s="4" t="s">
        <v>67</v>
      </c>
      <c r="H30" s="4" t="s">
        <v>58</v>
      </c>
      <c r="I30" s="4" t="s">
        <v>32</v>
      </c>
      <c r="J30" s="4" t="s">
        <v>44</v>
      </c>
      <c r="K30" s="4" t="s">
        <v>33</v>
      </c>
      <c r="L30" s="4" t="s">
        <v>31</v>
      </c>
      <c r="M30" s="4" t="s">
        <v>175</v>
      </c>
      <c r="N30" s="4" t="s">
        <v>18</v>
      </c>
      <c r="O30" s="4">
        <v>1.0787</v>
      </c>
      <c r="P30" s="4">
        <v>36</v>
      </c>
      <c r="Q30" s="4">
        <v>36</v>
      </c>
      <c r="R30" s="4" t="s">
        <v>313</v>
      </c>
      <c r="S30" s="4" t="s">
        <v>401</v>
      </c>
      <c r="T30" s="4" t="s">
        <v>551</v>
      </c>
      <c r="V30" s="4">
        <v>2010</v>
      </c>
      <c r="W30" s="4">
        <v>0.31290000000000001</v>
      </c>
    </row>
    <row r="31" spans="1:23" ht="14.5" customHeight="1" x14ac:dyDescent="0.3">
      <c r="A31" s="4" t="s">
        <v>318</v>
      </c>
      <c r="B31" s="4" t="s">
        <v>221</v>
      </c>
      <c r="C31" s="4">
        <v>2018</v>
      </c>
      <c r="D31" s="4" t="s">
        <v>15</v>
      </c>
      <c r="E31" s="4" t="s">
        <v>16</v>
      </c>
      <c r="F31" s="4" t="s">
        <v>53</v>
      </c>
      <c r="G31" s="4" t="s">
        <v>19</v>
      </c>
      <c r="H31" s="4" t="s">
        <v>224</v>
      </c>
      <c r="I31" s="4" t="s">
        <v>21</v>
      </c>
      <c r="J31" s="4" t="s">
        <v>38</v>
      </c>
      <c r="K31" s="4" t="s">
        <v>33</v>
      </c>
      <c r="L31" s="4" t="s">
        <v>31</v>
      </c>
      <c r="M31" s="4" t="s">
        <v>17</v>
      </c>
      <c r="N31" s="4" t="s">
        <v>18</v>
      </c>
      <c r="O31" s="4">
        <v>4.3600000000000003</v>
      </c>
      <c r="P31" s="4">
        <v>18</v>
      </c>
      <c r="Q31" s="4">
        <v>18</v>
      </c>
      <c r="R31" s="4" t="s">
        <v>316</v>
      </c>
      <c r="S31" s="4" t="s">
        <v>473</v>
      </c>
      <c r="T31" s="4" t="s">
        <v>551</v>
      </c>
      <c r="V31" s="4">
        <v>550</v>
      </c>
      <c r="W31" s="4">
        <v>0.27811000000000002</v>
      </c>
    </row>
    <row r="32" spans="1:23" ht="14.5" customHeight="1" x14ac:dyDescent="0.3">
      <c r="A32" s="4" t="s">
        <v>45</v>
      </c>
      <c r="B32" s="4" t="s">
        <v>46</v>
      </c>
      <c r="C32" s="4">
        <v>2018</v>
      </c>
      <c r="D32" s="4" t="s">
        <v>15</v>
      </c>
      <c r="E32" s="4" t="s">
        <v>16</v>
      </c>
      <c r="F32" s="4" t="s">
        <v>47</v>
      </c>
      <c r="G32" s="4" t="s">
        <v>48</v>
      </c>
      <c r="H32" s="4" t="s">
        <v>49</v>
      </c>
      <c r="I32" s="4" t="s">
        <v>21</v>
      </c>
      <c r="J32" s="4" t="s">
        <v>44</v>
      </c>
      <c r="K32" s="4" t="s">
        <v>33</v>
      </c>
      <c r="L32" s="4" t="s">
        <v>31</v>
      </c>
      <c r="M32" s="4" t="s">
        <v>50</v>
      </c>
      <c r="N32" s="4" t="s">
        <v>41</v>
      </c>
      <c r="O32" s="4">
        <v>3.5838823590394413</v>
      </c>
      <c r="P32" s="4">
        <v>36</v>
      </c>
      <c r="Q32" s="4">
        <v>35</v>
      </c>
      <c r="R32" s="4" t="s">
        <v>362</v>
      </c>
      <c r="S32" s="4" t="s">
        <v>490</v>
      </c>
      <c r="T32" s="4" t="s">
        <v>553</v>
      </c>
      <c r="V32" s="4">
        <v>790</v>
      </c>
      <c r="W32" s="4">
        <v>0.27811000000000002</v>
      </c>
    </row>
    <row r="33" spans="1:23" ht="14.5" customHeight="1" x14ac:dyDescent="0.3">
      <c r="A33" s="4" t="s">
        <v>318</v>
      </c>
      <c r="B33" s="4" t="s">
        <v>221</v>
      </c>
      <c r="C33" s="4">
        <v>2018</v>
      </c>
      <c r="D33" s="4" t="s">
        <v>15</v>
      </c>
      <c r="E33" s="4" t="s">
        <v>16</v>
      </c>
      <c r="F33" s="4" t="s">
        <v>53</v>
      </c>
      <c r="G33" s="4" t="s">
        <v>19</v>
      </c>
      <c r="H33" s="4" t="s">
        <v>223</v>
      </c>
      <c r="I33" s="4" t="s">
        <v>21</v>
      </c>
      <c r="J33" s="4" t="s">
        <v>38</v>
      </c>
      <c r="K33" s="4" t="s">
        <v>33</v>
      </c>
      <c r="L33" s="4" t="s">
        <v>31</v>
      </c>
      <c r="M33" s="4" t="s">
        <v>17</v>
      </c>
      <c r="N33" s="4" t="s">
        <v>18</v>
      </c>
      <c r="O33" s="4">
        <v>1.9339999999999999</v>
      </c>
      <c r="P33" s="4">
        <v>23</v>
      </c>
      <c r="Q33" s="4">
        <v>12</v>
      </c>
      <c r="R33" s="4" t="s">
        <v>315</v>
      </c>
      <c r="S33" s="4" t="s">
        <v>472</v>
      </c>
      <c r="T33" s="4" t="s">
        <v>551</v>
      </c>
      <c r="V33" s="4">
        <v>780</v>
      </c>
      <c r="W33" s="4">
        <v>0.27811000000000002</v>
      </c>
    </row>
    <row r="34" spans="1:23" ht="14.5" customHeight="1" x14ac:dyDescent="0.3">
      <c r="A34" s="4" t="s">
        <v>317</v>
      </c>
      <c r="B34" s="4" t="s">
        <v>220</v>
      </c>
      <c r="C34" s="4">
        <v>2006</v>
      </c>
      <c r="D34" s="4" t="s">
        <v>15</v>
      </c>
      <c r="E34" s="4" t="s">
        <v>57</v>
      </c>
      <c r="F34" s="4" t="s">
        <v>47</v>
      </c>
      <c r="G34" s="4" t="s">
        <v>67</v>
      </c>
      <c r="H34" s="4" t="s">
        <v>58</v>
      </c>
      <c r="I34" s="4" t="s">
        <v>32</v>
      </c>
      <c r="J34" s="4" t="s">
        <v>44</v>
      </c>
      <c r="K34" s="4" t="s">
        <v>33</v>
      </c>
      <c r="L34" s="4" t="s">
        <v>31</v>
      </c>
      <c r="M34" s="4" t="s">
        <v>175</v>
      </c>
      <c r="N34" s="4" t="s">
        <v>18</v>
      </c>
      <c r="O34" s="4">
        <v>0.78090000000000004</v>
      </c>
      <c r="P34" s="4">
        <v>36</v>
      </c>
      <c r="Q34" s="4">
        <v>36</v>
      </c>
      <c r="R34" s="4" t="s">
        <v>313</v>
      </c>
      <c r="S34" s="4" t="s">
        <v>468</v>
      </c>
      <c r="T34" s="4" t="s">
        <v>553</v>
      </c>
      <c r="V34" s="4">
        <v>2010</v>
      </c>
      <c r="W34" s="4">
        <v>0.1173</v>
      </c>
    </row>
    <row r="35" spans="1:23" ht="14.5" customHeight="1" x14ac:dyDescent="0.3">
      <c r="A35" s="4" t="s">
        <v>343</v>
      </c>
      <c r="B35" s="4" t="s">
        <v>277</v>
      </c>
      <c r="C35" s="4">
        <v>2006</v>
      </c>
      <c r="D35" s="4" t="s">
        <v>15</v>
      </c>
      <c r="E35" s="4" t="s">
        <v>57</v>
      </c>
      <c r="F35" s="4" t="s">
        <v>28</v>
      </c>
      <c r="G35" s="4" t="s">
        <v>19</v>
      </c>
      <c r="H35" s="4" t="s">
        <v>30</v>
      </c>
      <c r="I35" s="4" t="s">
        <v>32</v>
      </c>
      <c r="J35" s="4" t="s">
        <v>31</v>
      </c>
      <c r="K35" s="4" t="s">
        <v>25</v>
      </c>
      <c r="L35" s="4" t="s">
        <v>31</v>
      </c>
      <c r="M35" s="4" t="s">
        <v>175</v>
      </c>
      <c r="N35" s="4" t="s">
        <v>18</v>
      </c>
      <c r="O35" s="4">
        <v>0.4244</v>
      </c>
      <c r="P35" s="4">
        <v>11</v>
      </c>
      <c r="Q35" s="4">
        <v>11</v>
      </c>
      <c r="R35" s="4" t="s">
        <v>344</v>
      </c>
      <c r="S35" s="4" t="s">
        <v>483</v>
      </c>
      <c r="T35" s="4" t="s">
        <v>553</v>
      </c>
      <c r="V35" s="4">
        <v>1900</v>
      </c>
      <c r="W35" s="4">
        <v>0.1173</v>
      </c>
    </row>
    <row r="36" spans="1:23" ht="14.5" customHeight="1" x14ac:dyDescent="0.3">
      <c r="A36" s="4" t="s">
        <v>343</v>
      </c>
      <c r="B36" s="4" t="s">
        <v>277</v>
      </c>
      <c r="C36" s="4">
        <v>2006</v>
      </c>
      <c r="D36" s="4" t="s">
        <v>15</v>
      </c>
      <c r="E36" s="4" t="s">
        <v>57</v>
      </c>
      <c r="F36" s="4" t="s">
        <v>28</v>
      </c>
      <c r="G36" s="4" t="s">
        <v>19</v>
      </c>
      <c r="H36" s="4" t="s">
        <v>30</v>
      </c>
      <c r="I36" s="4" t="s">
        <v>32</v>
      </c>
      <c r="J36" s="4" t="s">
        <v>31</v>
      </c>
      <c r="K36" s="4" t="s">
        <v>25</v>
      </c>
      <c r="L36" s="4" t="s">
        <v>31</v>
      </c>
      <c r="M36" s="4" t="s">
        <v>175</v>
      </c>
      <c r="N36" s="4" t="s">
        <v>18</v>
      </c>
      <c r="O36" s="4">
        <v>0.36670000000000003</v>
      </c>
      <c r="P36" s="4">
        <v>11</v>
      </c>
      <c r="Q36" s="4">
        <v>11</v>
      </c>
      <c r="R36" s="4" t="s">
        <v>344</v>
      </c>
      <c r="S36" s="4" t="s">
        <v>484</v>
      </c>
      <c r="T36" s="4" t="s">
        <v>551</v>
      </c>
      <c r="V36" s="4">
        <v>1900</v>
      </c>
      <c r="W36" s="4">
        <v>0.1173</v>
      </c>
    </row>
    <row r="37" spans="1:23" ht="14.5" customHeight="1" x14ac:dyDescent="0.3">
      <c r="A37" s="4" t="s">
        <v>265</v>
      </c>
      <c r="B37" s="4" t="s">
        <v>260</v>
      </c>
      <c r="C37" s="4">
        <v>2003</v>
      </c>
      <c r="D37" s="4" t="s">
        <v>15</v>
      </c>
      <c r="E37" s="4" t="s">
        <v>57</v>
      </c>
      <c r="F37" s="4" t="s">
        <v>171</v>
      </c>
      <c r="G37" s="4" t="s">
        <v>178</v>
      </c>
      <c r="H37" s="4" t="s">
        <v>261</v>
      </c>
      <c r="I37" s="4" t="s">
        <v>21</v>
      </c>
      <c r="J37" s="4" t="s">
        <v>44</v>
      </c>
      <c r="K37" s="4" t="s">
        <v>33</v>
      </c>
      <c r="L37" s="4" t="s">
        <v>31</v>
      </c>
      <c r="M37" s="4" t="s">
        <v>262</v>
      </c>
      <c r="N37" s="4" t="s">
        <v>18</v>
      </c>
      <c r="O37" s="4">
        <v>0.22311</v>
      </c>
      <c r="P37" s="4">
        <v>24</v>
      </c>
      <c r="Q37" s="4">
        <v>12</v>
      </c>
      <c r="S37" s="4" t="s">
        <v>480</v>
      </c>
      <c r="T37" s="4" t="s">
        <v>551</v>
      </c>
      <c r="V37" s="4">
        <v>3000</v>
      </c>
      <c r="W37" s="4">
        <v>0.1173</v>
      </c>
    </row>
    <row r="38" spans="1:23" ht="14.5" customHeight="1" x14ac:dyDescent="0.3">
      <c r="A38" s="4" t="s">
        <v>265</v>
      </c>
      <c r="B38" s="4" t="s">
        <v>260</v>
      </c>
      <c r="C38" s="4">
        <v>2003</v>
      </c>
      <c r="D38" s="4" t="s">
        <v>15</v>
      </c>
      <c r="E38" s="4" t="s">
        <v>57</v>
      </c>
      <c r="F38" s="4" t="s">
        <v>171</v>
      </c>
      <c r="G38" s="4" t="s">
        <v>67</v>
      </c>
      <c r="H38" s="4" t="s">
        <v>261</v>
      </c>
      <c r="I38" s="4" t="s">
        <v>21</v>
      </c>
      <c r="J38" s="4" t="s">
        <v>24</v>
      </c>
      <c r="K38" s="4" t="s">
        <v>33</v>
      </c>
      <c r="L38" s="4" t="s">
        <v>31</v>
      </c>
      <c r="M38" s="4" t="s">
        <v>262</v>
      </c>
      <c r="N38" s="4" t="s">
        <v>18</v>
      </c>
      <c r="O38" s="4">
        <v>0.13203999999999999</v>
      </c>
      <c r="P38" s="4">
        <v>12</v>
      </c>
      <c r="Q38" s="4">
        <v>12</v>
      </c>
      <c r="S38" s="4" t="s">
        <v>479</v>
      </c>
      <c r="T38" s="4" t="s">
        <v>552</v>
      </c>
      <c r="V38" s="4">
        <v>3000</v>
      </c>
      <c r="W38" s="4">
        <v>0.1173</v>
      </c>
    </row>
    <row r="39" spans="1:23" ht="14.5" customHeight="1" x14ac:dyDescent="0.3">
      <c r="A39" s="4" t="s">
        <v>322</v>
      </c>
      <c r="B39" s="4" t="s">
        <v>237</v>
      </c>
      <c r="C39" s="4">
        <v>2006</v>
      </c>
      <c r="D39" s="4" t="s">
        <v>15</v>
      </c>
      <c r="E39" s="4" t="s">
        <v>57</v>
      </c>
      <c r="F39" s="4" t="s">
        <v>171</v>
      </c>
      <c r="G39" s="4" t="s">
        <v>19</v>
      </c>
      <c r="H39" s="4" t="s">
        <v>238</v>
      </c>
      <c r="I39" s="4" t="s">
        <v>32</v>
      </c>
      <c r="J39" s="4" t="s">
        <v>31</v>
      </c>
      <c r="K39" s="4" t="s">
        <v>33</v>
      </c>
      <c r="L39" s="4" t="s">
        <v>31</v>
      </c>
      <c r="M39" s="4" t="s">
        <v>175</v>
      </c>
      <c r="N39" s="4" t="s">
        <v>18</v>
      </c>
      <c r="O39" s="4">
        <v>0.1173</v>
      </c>
      <c r="P39" s="4">
        <v>5</v>
      </c>
      <c r="Q39" s="4">
        <v>5</v>
      </c>
      <c r="R39" s="4" t="s">
        <v>323</v>
      </c>
      <c r="S39" s="4" t="s">
        <v>474</v>
      </c>
      <c r="T39" s="4" t="s">
        <v>552</v>
      </c>
      <c r="V39" s="4">
        <v>3430</v>
      </c>
      <c r="W39" s="4">
        <v>0.1173</v>
      </c>
    </row>
    <row r="40" spans="1:23" ht="14.5" customHeight="1" x14ac:dyDescent="0.3">
      <c r="A40" s="4" t="s">
        <v>265</v>
      </c>
      <c r="B40" s="4" t="s">
        <v>260</v>
      </c>
      <c r="C40" s="4">
        <v>2003</v>
      </c>
      <c r="D40" s="4" t="s">
        <v>15</v>
      </c>
      <c r="E40" s="4" t="s">
        <v>57</v>
      </c>
      <c r="F40" s="4" t="s">
        <v>171</v>
      </c>
      <c r="G40" s="4" t="s">
        <v>67</v>
      </c>
      <c r="H40" s="4" t="s">
        <v>261</v>
      </c>
      <c r="I40" s="4" t="s">
        <v>21</v>
      </c>
      <c r="J40" s="4" t="s">
        <v>44</v>
      </c>
      <c r="K40" s="4" t="s">
        <v>33</v>
      </c>
      <c r="L40" s="4" t="s">
        <v>31</v>
      </c>
      <c r="M40" s="4" t="s">
        <v>262</v>
      </c>
      <c r="N40" s="4" t="s">
        <v>18</v>
      </c>
      <c r="O40" s="4">
        <v>8.1960000000000005E-2</v>
      </c>
      <c r="P40" s="4">
        <v>16</v>
      </c>
      <c r="Q40" s="4">
        <v>16</v>
      </c>
      <c r="S40" s="4" t="s">
        <v>479</v>
      </c>
      <c r="T40" s="4" t="s">
        <v>552</v>
      </c>
      <c r="V40" s="4">
        <v>3000</v>
      </c>
      <c r="W40" s="4">
        <v>0.1173</v>
      </c>
    </row>
    <row r="41" spans="1:23" s="13" customFormat="1" ht="14.5" customHeight="1" x14ac:dyDescent="0.3">
      <c r="A41" s="4" t="s">
        <v>217</v>
      </c>
      <c r="B41" s="4" t="s">
        <v>218</v>
      </c>
      <c r="C41" s="4">
        <v>2007</v>
      </c>
      <c r="D41" s="4" t="s">
        <v>15</v>
      </c>
      <c r="E41" s="4" t="s">
        <v>819</v>
      </c>
      <c r="F41" s="4" t="s">
        <v>171</v>
      </c>
      <c r="G41" s="4" t="s">
        <v>121</v>
      </c>
      <c r="H41" s="4" t="s">
        <v>20</v>
      </c>
      <c r="I41" s="4" t="s">
        <v>21</v>
      </c>
      <c r="J41" s="4" t="s">
        <v>38</v>
      </c>
      <c r="K41" s="4" t="s">
        <v>33</v>
      </c>
      <c r="L41" s="4" t="s">
        <v>31</v>
      </c>
      <c r="M41" s="4" t="s">
        <v>175</v>
      </c>
      <c r="N41" s="4" t="s">
        <v>18</v>
      </c>
      <c r="O41" s="4">
        <v>0.31290000000000001</v>
      </c>
      <c r="P41" s="4">
        <v>12</v>
      </c>
      <c r="Q41" s="4">
        <v>12</v>
      </c>
      <c r="R41" s="4" t="s">
        <v>370</v>
      </c>
      <c r="S41" s="4" t="s">
        <v>465</v>
      </c>
      <c r="T41" s="4" t="s">
        <v>551</v>
      </c>
      <c r="U41" s="4"/>
      <c r="V41" s="4">
        <v>800</v>
      </c>
      <c r="W41" s="4">
        <v>0.19188</v>
      </c>
    </row>
    <row r="42" spans="1:23" ht="14.5" customHeight="1" x14ac:dyDescent="0.3">
      <c r="A42" s="4" t="s">
        <v>215</v>
      </c>
      <c r="B42" s="4" t="s">
        <v>216</v>
      </c>
      <c r="C42" s="4">
        <v>1998</v>
      </c>
      <c r="D42" s="4" t="s">
        <v>15</v>
      </c>
      <c r="E42" s="4" t="s">
        <v>819</v>
      </c>
      <c r="F42" s="4" t="s">
        <v>171</v>
      </c>
      <c r="G42" s="4" t="s">
        <v>67</v>
      </c>
      <c r="H42" s="4" t="s">
        <v>156</v>
      </c>
      <c r="I42" s="4" t="s">
        <v>114</v>
      </c>
      <c r="J42" s="4" t="s">
        <v>38</v>
      </c>
      <c r="K42" s="4" t="s">
        <v>137</v>
      </c>
      <c r="L42" s="4" t="s">
        <v>74</v>
      </c>
      <c r="M42" s="4" t="s">
        <v>175</v>
      </c>
      <c r="N42" s="4" t="s">
        <v>41</v>
      </c>
      <c r="O42" s="4">
        <v>0.26100000000000001</v>
      </c>
      <c r="P42" s="4">
        <v>6</v>
      </c>
      <c r="Q42" s="4">
        <v>6</v>
      </c>
      <c r="R42" s="4" t="s">
        <v>312</v>
      </c>
      <c r="S42" s="4" t="s">
        <v>400</v>
      </c>
      <c r="T42" s="4" t="s">
        <v>551</v>
      </c>
      <c r="V42" s="4">
        <v>8480</v>
      </c>
      <c r="W42" s="4">
        <v>0.19188</v>
      </c>
    </row>
    <row r="43" spans="1:23" ht="14.5" customHeight="1" x14ac:dyDescent="0.3">
      <c r="A43" s="4" t="s">
        <v>271</v>
      </c>
      <c r="B43" s="4" t="s">
        <v>270</v>
      </c>
      <c r="C43" s="4">
        <v>2013</v>
      </c>
      <c r="D43" s="4" t="s">
        <v>15</v>
      </c>
      <c r="E43" s="4" t="s">
        <v>819</v>
      </c>
      <c r="F43" s="4" t="s">
        <v>47</v>
      </c>
      <c r="G43" s="4" t="s">
        <v>67</v>
      </c>
      <c r="H43" s="4" t="s">
        <v>58</v>
      </c>
      <c r="I43" s="4" t="s">
        <v>32</v>
      </c>
      <c r="J43" s="4" t="s">
        <v>44</v>
      </c>
      <c r="K43" s="4" t="s">
        <v>25</v>
      </c>
      <c r="L43" s="4" t="s">
        <v>74</v>
      </c>
      <c r="M43" s="4" t="s">
        <v>262</v>
      </c>
      <c r="N43" s="4" t="s">
        <v>18</v>
      </c>
      <c r="O43" s="4">
        <v>0.12275999999999999</v>
      </c>
      <c r="P43" s="4">
        <v>5</v>
      </c>
      <c r="Q43" s="4">
        <v>5</v>
      </c>
      <c r="R43" s="4" t="s">
        <v>339</v>
      </c>
      <c r="S43" s="4" t="s">
        <v>462</v>
      </c>
      <c r="T43" s="4" t="s">
        <v>551</v>
      </c>
      <c r="V43" s="4">
        <v>2010</v>
      </c>
      <c r="W43" s="4">
        <v>0.19188</v>
      </c>
    </row>
    <row r="44" spans="1:23" ht="14.5" customHeight="1" x14ac:dyDescent="0.3">
      <c r="A44" s="4" t="s">
        <v>60</v>
      </c>
      <c r="B44" s="4" t="s">
        <v>56</v>
      </c>
      <c r="C44" s="4">
        <v>2017</v>
      </c>
      <c r="D44" s="4" t="s">
        <v>15</v>
      </c>
      <c r="E44" s="4" t="s">
        <v>819</v>
      </c>
      <c r="F44" s="4" t="s">
        <v>42</v>
      </c>
      <c r="G44" s="4" t="s">
        <v>19</v>
      </c>
      <c r="H44" s="4" t="s">
        <v>58</v>
      </c>
      <c r="I44" s="4" t="s">
        <v>32</v>
      </c>
      <c r="J44" s="4" t="s">
        <v>44</v>
      </c>
      <c r="K44" s="4" t="s">
        <v>25</v>
      </c>
      <c r="L44" s="4" t="s">
        <v>59</v>
      </c>
      <c r="M44" s="4" t="s">
        <v>17</v>
      </c>
      <c r="N44" s="4" t="s">
        <v>18</v>
      </c>
      <c r="O44" s="4">
        <v>3.0698351248792412E-2</v>
      </c>
      <c r="P44" s="4">
        <v>12</v>
      </c>
      <c r="Q44" s="4">
        <v>3</v>
      </c>
      <c r="R44" s="4" t="s">
        <v>365</v>
      </c>
      <c r="S44" s="4" t="s">
        <v>464</v>
      </c>
      <c r="T44" s="4" t="s">
        <v>552</v>
      </c>
      <c r="U44" s="4" t="s">
        <v>71</v>
      </c>
      <c r="V44" s="4">
        <v>2010</v>
      </c>
      <c r="W44" s="4">
        <v>0.19188</v>
      </c>
    </row>
    <row r="45" spans="1:23" ht="14.5" customHeight="1" x14ac:dyDescent="0.3">
      <c r="A45" s="4" t="s">
        <v>282</v>
      </c>
      <c r="B45" s="4" t="s">
        <v>281</v>
      </c>
      <c r="C45" s="4">
        <v>2006</v>
      </c>
      <c r="D45" s="4" t="s">
        <v>200</v>
      </c>
      <c r="E45" s="4" t="s">
        <v>162</v>
      </c>
      <c r="F45" s="4" t="s">
        <v>53</v>
      </c>
      <c r="G45" s="4" t="s">
        <v>121</v>
      </c>
      <c r="H45" s="4" t="s">
        <v>20</v>
      </c>
      <c r="I45" s="4" t="s">
        <v>21</v>
      </c>
      <c r="J45" s="4" t="s">
        <v>38</v>
      </c>
      <c r="K45" s="4" t="s">
        <v>25</v>
      </c>
      <c r="L45" s="4" t="s">
        <v>74</v>
      </c>
      <c r="M45" s="4" t="s">
        <v>259</v>
      </c>
      <c r="N45" s="4" t="s">
        <v>41</v>
      </c>
      <c r="O45" s="4">
        <v>3.7480000000000002</v>
      </c>
      <c r="P45" s="4">
        <v>48</v>
      </c>
      <c r="Q45" s="4">
        <v>48</v>
      </c>
      <c r="R45" s="4" t="s">
        <v>347</v>
      </c>
      <c r="S45" s="4" t="s">
        <v>463</v>
      </c>
      <c r="T45" s="4" t="s">
        <v>553</v>
      </c>
      <c r="V45" s="4">
        <v>800</v>
      </c>
      <c r="W45" s="4">
        <v>0.51200000000000001</v>
      </c>
    </row>
    <row r="46" spans="1:23" ht="14.5" customHeight="1" x14ac:dyDescent="0.3">
      <c r="A46" s="4" t="s">
        <v>337</v>
      </c>
      <c r="B46" s="4" t="s">
        <v>272</v>
      </c>
      <c r="C46" s="4">
        <v>2018</v>
      </c>
      <c r="D46" s="4" t="s">
        <v>200</v>
      </c>
      <c r="E46" s="4" t="s">
        <v>163</v>
      </c>
      <c r="F46" s="4" t="s">
        <v>171</v>
      </c>
      <c r="G46" s="4" t="s">
        <v>67</v>
      </c>
      <c r="H46" s="4" t="s">
        <v>68</v>
      </c>
      <c r="I46" s="4" t="s">
        <v>21</v>
      </c>
      <c r="J46" s="4" t="s">
        <v>44</v>
      </c>
      <c r="K46" s="4" t="s">
        <v>137</v>
      </c>
      <c r="L46" s="4" t="s">
        <v>59</v>
      </c>
      <c r="M46" s="4" t="s">
        <v>259</v>
      </c>
      <c r="N46" s="4" t="s">
        <v>41</v>
      </c>
      <c r="O46" s="4">
        <v>3.71</v>
      </c>
      <c r="P46" s="4">
        <v>1</v>
      </c>
      <c r="Q46" s="4">
        <v>1</v>
      </c>
      <c r="R46" s="4" t="s">
        <v>340</v>
      </c>
      <c r="T46" s="4" t="s">
        <v>551</v>
      </c>
      <c r="V46" s="4">
        <v>1760</v>
      </c>
      <c r="W46" s="4">
        <v>0.51200000000000001</v>
      </c>
    </row>
    <row r="47" spans="1:23" ht="14.5" customHeight="1" x14ac:dyDescent="0.3">
      <c r="A47" s="4" t="s">
        <v>240</v>
      </c>
      <c r="B47" s="4" t="s">
        <v>239</v>
      </c>
      <c r="C47" s="4">
        <v>2015</v>
      </c>
      <c r="D47" s="4" t="s">
        <v>200</v>
      </c>
      <c r="E47" s="4" t="s">
        <v>163</v>
      </c>
      <c r="F47" s="4" t="s">
        <v>28</v>
      </c>
      <c r="G47" s="4" t="s">
        <v>178</v>
      </c>
      <c r="H47" s="4" t="s">
        <v>20</v>
      </c>
      <c r="I47" s="4" t="s">
        <v>21</v>
      </c>
      <c r="J47" s="4" t="s">
        <v>44</v>
      </c>
      <c r="K47" s="4" t="s">
        <v>137</v>
      </c>
      <c r="L47" s="4" t="s">
        <v>59</v>
      </c>
      <c r="M47" s="4" t="s">
        <v>205</v>
      </c>
      <c r="N47" s="4" t="s">
        <v>18</v>
      </c>
      <c r="O47" s="4">
        <v>2.1749999999999998</v>
      </c>
      <c r="P47" s="4">
        <v>12</v>
      </c>
      <c r="Q47" s="4">
        <v>12</v>
      </c>
      <c r="R47" s="4" t="s">
        <v>324</v>
      </c>
      <c r="S47" s="4" t="s">
        <v>457</v>
      </c>
      <c r="T47" s="4" t="s">
        <v>551</v>
      </c>
      <c r="V47" s="4">
        <v>800</v>
      </c>
      <c r="W47" s="4">
        <v>0.44373499999999999</v>
      </c>
    </row>
    <row r="48" spans="1:23" ht="14.5" customHeight="1" x14ac:dyDescent="0.3">
      <c r="A48" s="4" t="s">
        <v>197</v>
      </c>
      <c r="B48" s="4" t="s">
        <v>198</v>
      </c>
      <c r="C48" s="4">
        <v>2014</v>
      </c>
      <c r="D48" s="4" t="s">
        <v>200</v>
      </c>
      <c r="E48" s="4" t="s">
        <v>163</v>
      </c>
      <c r="F48" s="4" t="s">
        <v>187</v>
      </c>
      <c r="G48" s="4" t="s">
        <v>19</v>
      </c>
      <c r="H48" s="4" t="s">
        <v>30</v>
      </c>
      <c r="I48" s="4" t="s">
        <v>32</v>
      </c>
      <c r="J48" s="4" t="s">
        <v>22</v>
      </c>
      <c r="K48" s="4" t="s">
        <v>25</v>
      </c>
      <c r="L48" s="4" t="s">
        <v>59</v>
      </c>
      <c r="M48" s="4" t="s">
        <v>17</v>
      </c>
      <c r="N48" s="4" t="s">
        <v>18</v>
      </c>
      <c r="O48" s="4">
        <v>0.69399999999999995</v>
      </c>
      <c r="P48" s="4">
        <v>12</v>
      </c>
      <c r="Q48" s="4">
        <v>11</v>
      </c>
      <c r="R48" s="4" t="s">
        <v>310</v>
      </c>
      <c r="S48" s="4" t="s">
        <v>375</v>
      </c>
      <c r="T48" s="4" t="s">
        <v>552</v>
      </c>
      <c r="V48" s="4">
        <v>1900</v>
      </c>
      <c r="W48" s="4">
        <v>0.44373499999999999</v>
      </c>
    </row>
    <row r="49" spans="1:23" ht="14.5" customHeight="1" x14ac:dyDescent="0.3">
      <c r="A49" s="4" t="s">
        <v>246</v>
      </c>
      <c r="B49" s="4" t="s">
        <v>244</v>
      </c>
      <c r="C49" s="4">
        <v>2017</v>
      </c>
      <c r="D49" s="4" t="s">
        <v>200</v>
      </c>
      <c r="E49" s="4" t="s">
        <v>162</v>
      </c>
      <c r="F49" s="4" t="s">
        <v>187</v>
      </c>
      <c r="G49" s="4" t="s">
        <v>132</v>
      </c>
      <c r="H49" s="4" t="s">
        <v>245</v>
      </c>
      <c r="I49" s="4" t="s">
        <v>21</v>
      </c>
      <c r="J49" s="4" t="s">
        <v>38</v>
      </c>
      <c r="K49" s="4" t="s">
        <v>25</v>
      </c>
      <c r="L49" s="4" t="s">
        <v>59</v>
      </c>
      <c r="M49" s="4" t="s">
        <v>175</v>
      </c>
      <c r="N49" s="4" t="s">
        <v>41</v>
      </c>
      <c r="O49" s="4">
        <v>0.4758</v>
      </c>
      <c r="P49" s="4">
        <v>12</v>
      </c>
      <c r="Q49" s="4">
        <v>12</v>
      </c>
      <c r="R49" s="4" t="s">
        <v>325</v>
      </c>
      <c r="S49" s="4" t="s">
        <v>459</v>
      </c>
      <c r="T49" s="4" t="s">
        <v>552</v>
      </c>
      <c r="V49" s="4">
        <v>830</v>
      </c>
      <c r="W49" s="4">
        <v>0.44373499999999999</v>
      </c>
    </row>
    <row r="50" spans="1:23" ht="14.5" customHeight="1" x14ac:dyDescent="0.3">
      <c r="A50" s="4" t="s">
        <v>64</v>
      </c>
      <c r="B50" s="4" t="s">
        <v>65</v>
      </c>
      <c r="C50" s="4">
        <v>2020</v>
      </c>
      <c r="D50" s="4" t="s">
        <v>66</v>
      </c>
      <c r="E50" s="4" t="s">
        <v>573</v>
      </c>
      <c r="F50" s="4" t="s">
        <v>28</v>
      </c>
      <c r="G50" s="4" t="s">
        <v>67</v>
      </c>
      <c r="H50" s="4" t="s">
        <v>68</v>
      </c>
      <c r="I50" s="4" t="s">
        <v>21</v>
      </c>
      <c r="J50" s="4" t="s">
        <v>24</v>
      </c>
      <c r="K50" s="4" t="s">
        <v>22</v>
      </c>
      <c r="L50" s="4" t="s">
        <v>31</v>
      </c>
      <c r="M50" s="4" t="s">
        <v>297</v>
      </c>
      <c r="N50" s="4" t="s">
        <v>18</v>
      </c>
      <c r="O50" s="4">
        <v>65.400000000000006</v>
      </c>
      <c r="P50" s="4">
        <v>12</v>
      </c>
      <c r="Q50" s="4">
        <v>11</v>
      </c>
      <c r="R50" s="4" t="s">
        <v>357</v>
      </c>
      <c r="S50" s="4" t="s">
        <v>392</v>
      </c>
      <c r="T50" s="4" t="s">
        <v>553</v>
      </c>
      <c r="V50" s="4">
        <v>1760</v>
      </c>
      <c r="W50" s="4">
        <v>0.92586123077810556</v>
      </c>
    </row>
    <row r="51" spans="1:23" ht="14.5" customHeight="1" x14ac:dyDescent="0.3">
      <c r="A51" s="4" t="s">
        <v>64</v>
      </c>
      <c r="B51" s="4" t="s">
        <v>65</v>
      </c>
      <c r="C51" s="4">
        <v>2020</v>
      </c>
      <c r="D51" s="4" t="s">
        <v>66</v>
      </c>
      <c r="E51" s="4" t="s">
        <v>573</v>
      </c>
      <c r="F51" s="4" t="s">
        <v>28</v>
      </c>
      <c r="G51" s="4" t="s">
        <v>67</v>
      </c>
      <c r="H51" s="4" t="s">
        <v>68</v>
      </c>
      <c r="I51" s="4" t="s">
        <v>21</v>
      </c>
      <c r="J51" s="4" t="s">
        <v>24</v>
      </c>
      <c r="K51" s="4" t="s">
        <v>22</v>
      </c>
      <c r="L51" s="4" t="s">
        <v>31</v>
      </c>
      <c r="M51" s="4" t="s">
        <v>297</v>
      </c>
      <c r="N51" s="4" t="s">
        <v>18</v>
      </c>
      <c r="O51" s="4">
        <v>43.25</v>
      </c>
      <c r="P51" s="4">
        <v>12</v>
      </c>
      <c r="Q51" s="4">
        <v>11</v>
      </c>
      <c r="R51" s="4" t="s">
        <v>357</v>
      </c>
      <c r="S51" s="4" t="s">
        <v>393</v>
      </c>
      <c r="T51" s="4" t="s">
        <v>553</v>
      </c>
      <c r="V51" s="4">
        <v>1760</v>
      </c>
      <c r="W51" s="4">
        <v>0.92586123077810556</v>
      </c>
    </row>
    <row r="52" spans="1:23" ht="14.5" customHeight="1" x14ac:dyDescent="0.3">
      <c r="A52" s="4" t="s">
        <v>75</v>
      </c>
      <c r="B52" s="4" t="s">
        <v>76</v>
      </c>
      <c r="C52" s="4">
        <v>2020</v>
      </c>
      <c r="D52" s="4" t="s">
        <v>66</v>
      </c>
      <c r="E52" s="4" t="s">
        <v>573</v>
      </c>
      <c r="F52" s="4" t="s">
        <v>47</v>
      </c>
      <c r="G52" s="4" t="s">
        <v>67</v>
      </c>
      <c r="H52" s="4" t="s">
        <v>77</v>
      </c>
      <c r="I52" s="4" t="s">
        <v>21</v>
      </c>
      <c r="J52" s="4" t="s">
        <v>24</v>
      </c>
      <c r="K52" s="4" t="s">
        <v>25</v>
      </c>
      <c r="L52" s="4" t="s">
        <v>74</v>
      </c>
      <c r="M52" s="4" t="s">
        <v>300</v>
      </c>
      <c r="N52" s="4" t="s">
        <v>18</v>
      </c>
      <c r="O52" s="4">
        <f>4.42</f>
        <v>4.42</v>
      </c>
      <c r="P52" s="4">
        <v>2</v>
      </c>
      <c r="Q52" s="4">
        <v>12</v>
      </c>
      <c r="R52" s="4" t="s">
        <v>363</v>
      </c>
      <c r="S52" s="4" t="s">
        <v>398</v>
      </c>
      <c r="T52" s="4" t="s">
        <v>552</v>
      </c>
      <c r="V52" s="4">
        <v>2000</v>
      </c>
      <c r="W52" s="4">
        <v>0.92586123077810556</v>
      </c>
    </row>
    <row r="53" spans="1:23" ht="14.5" customHeight="1" x14ac:dyDescent="0.3">
      <c r="A53" s="4" t="s">
        <v>192</v>
      </c>
      <c r="B53" s="4" t="s">
        <v>193</v>
      </c>
      <c r="C53" s="4">
        <v>2013</v>
      </c>
      <c r="D53" s="4" t="s">
        <v>66</v>
      </c>
      <c r="E53" s="4" t="s">
        <v>573</v>
      </c>
      <c r="F53" s="4" t="s">
        <v>28</v>
      </c>
      <c r="G53" s="4" t="s">
        <v>19</v>
      </c>
      <c r="H53" s="4" t="s">
        <v>20</v>
      </c>
      <c r="I53" s="4" t="s">
        <v>21</v>
      </c>
      <c r="J53" s="4" t="s">
        <v>31</v>
      </c>
      <c r="K53" s="4" t="s">
        <v>22</v>
      </c>
      <c r="L53" s="4" t="s">
        <v>59</v>
      </c>
      <c r="M53" s="4" t="s">
        <v>133</v>
      </c>
      <c r="N53" s="4" t="s">
        <v>18</v>
      </c>
      <c r="O53" s="4">
        <v>2.8959999999999999</v>
      </c>
      <c r="P53" s="4">
        <v>12</v>
      </c>
      <c r="Q53" s="4">
        <v>27</v>
      </c>
      <c r="R53" s="4" t="s">
        <v>309</v>
      </c>
      <c r="S53" s="4" t="s">
        <v>390</v>
      </c>
      <c r="T53" s="4" t="s">
        <v>553</v>
      </c>
      <c r="V53" s="4">
        <v>800</v>
      </c>
      <c r="W53" s="4">
        <v>0.92586123077810556</v>
      </c>
    </row>
    <row r="54" spans="1:23" ht="14.5" customHeight="1" x14ac:dyDescent="0.3">
      <c r="A54" s="4" t="s">
        <v>234</v>
      </c>
      <c r="B54" s="4" t="s">
        <v>233</v>
      </c>
      <c r="C54" s="4">
        <v>2011</v>
      </c>
      <c r="D54" s="4" t="s">
        <v>87</v>
      </c>
      <c r="E54" s="4" t="s">
        <v>88</v>
      </c>
      <c r="F54" s="4" t="s">
        <v>171</v>
      </c>
      <c r="G54" s="4" t="s">
        <v>67</v>
      </c>
      <c r="H54" s="4" t="s">
        <v>30</v>
      </c>
      <c r="I54" s="4" t="s">
        <v>32</v>
      </c>
      <c r="J54" s="4" t="s">
        <v>31</v>
      </c>
      <c r="K54" s="4" t="s">
        <v>25</v>
      </c>
      <c r="L54" s="4" t="s">
        <v>31</v>
      </c>
      <c r="M54" s="4" t="s">
        <v>191</v>
      </c>
      <c r="N54" s="4" t="s">
        <v>18</v>
      </c>
      <c r="O54" s="4">
        <v>100.7465</v>
      </c>
      <c r="P54" s="4">
        <v>9</v>
      </c>
      <c r="Q54" s="4">
        <v>9</v>
      </c>
      <c r="R54" s="4" t="s">
        <v>320</v>
      </c>
      <c r="S54" s="4" t="s">
        <v>382</v>
      </c>
      <c r="T54" s="4" t="s">
        <v>552</v>
      </c>
      <c r="V54" s="4">
        <v>1900</v>
      </c>
      <c r="W54" s="4">
        <v>125.72912541159806</v>
      </c>
    </row>
    <row r="55" spans="1:23" ht="14.5" customHeight="1" x14ac:dyDescent="0.3">
      <c r="A55" s="4" t="s">
        <v>269</v>
      </c>
      <c r="B55" s="4" t="s">
        <v>268</v>
      </c>
      <c r="C55" s="4">
        <v>1996</v>
      </c>
      <c r="D55" s="4" t="s">
        <v>87</v>
      </c>
      <c r="E55" s="4" t="s">
        <v>88</v>
      </c>
      <c r="F55" s="4" t="s">
        <v>47</v>
      </c>
      <c r="G55" s="4" t="s">
        <v>19</v>
      </c>
      <c r="H55" s="4" t="s">
        <v>37</v>
      </c>
      <c r="I55" s="4" t="s">
        <v>32</v>
      </c>
      <c r="J55" s="4" t="s">
        <v>44</v>
      </c>
      <c r="K55" s="4" t="s">
        <v>25</v>
      </c>
      <c r="L55" s="4" t="s">
        <v>31</v>
      </c>
      <c r="M55" s="4" t="s">
        <v>191</v>
      </c>
      <c r="N55" s="4" t="s">
        <v>18</v>
      </c>
      <c r="O55" s="4">
        <v>1.2259899999999999</v>
      </c>
      <c r="P55" s="4">
        <v>1</v>
      </c>
      <c r="Q55" s="4">
        <v>1</v>
      </c>
      <c r="R55" s="4" t="s">
        <v>338</v>
      </c>
      <c r="S55" s="4" t="s">
        <v>384</v>
      </c>
      <c r="T55" s="4" t="s">
        <v>552</v>
      </c>
      <c r="V55" s="4">
        <v>3870</v>
      </c>
      <c r="W55" s="4">
        <v>125.72912541159806</v>
      </c>
    </row>
    <row r="56" spans="1:23" ht="14.5" customHeight="1" x14ac:dyDescent="0.3">
      <c r="A56" s="4" t="s">
        <v>269</v>
      </c>
      <c r="B56" s="4" t="s">
        <v>268</v>
      </c>
      <c r="C56" s="4">
        <v>1996</v>
      </c>
      <c r="D56" s="4" t="s">
        <v>87</v>
      </c>
      <c r="E56" s="4" t="s">
        <v>88</v>
      </c>
      <c r="F56" s="4" t="s">
        <v>47</v>
      </c>
      <c r="G56" s="4" t="s">
        <v>19</v>
      </c>
      <c r="H56" s="4" t="s">
        <v>37</v>
      </c>
      <c r="I56" s="4" t="s">
        <v>32</v>
      </c>
      <c r="J56" s="4" t="s">
        <v>44</v>
      </c>
      <c r="K56" s="4" t="s">
        <v>25</v>
      </c>
      <c r="L56" s="4" t="s">
        <v>31</v>
      </c>
      <c r="M56" s="4" t="s">
        <v>191</v>
      </c>
      <c r="N56" s="4" t="s">
        <v>18</v>
      </c>
      <c r="O56" s="4">
        <v>5.25427</v>
      </c>
      <c r="P56" s="4">
        <v>1</v>
      </c>
      <c r="Q56" s="4">
        <v>1</v>
      </c>
      <c r="R56" s="4" t="s">
        <v>338</v>
      </c>
      <c r="S56" s="4" t="s">
        <v>384</v>
      </c>
      <c r="T56" s="4" t="s">
        <v>552</v>
      </c>
      <c r="V56" s="4">
        <v>3870</v>
      </c>
      <c r="W56" s="4">
        <v>125.72912541159806</v>
      </c>
    </row>
    <row r="57" spans="1:23" ht="14.5" customHeight="1" x14ac:dyDescent="0.3">
      <c r="A57" s="4" t="s">
        <v>85</v>
      </c>
      <c r="B57" s="4" t="s">
        <v>86</v>
      </c>
      <c r="C57" s="4">
        <v>2005</v>
      </c>
      <c r="D57" s="4" t="s">
        <v>87</v>
      </c>
      <c r="E57" s="4" t="s">
        <v>88</v>
      </c>
      <c r="F57" s="4" t="s">
        <v>171</v>
      </c>
      <c r="G57" s="4" t="s">
        <v>89</v>
      </c>
      <c r="H57" s="4" t="s">
        <v>37</v>
      </c>
      <c r="I57" s="4" t="s">
        <v>32</v>
      </c>
      <c r="J57" s="4" t="s">
        <v>22</v>
      </c>
      <c r="K57" s="4" t="s">
        <v>25</v>
      </c>
      <c r="L57" s="4" t="s">
        <v>22</v>
      </c>
      <c r="M57" s="4" t="s">
        <v>91</v>
      </c>
      <c r="N57" s="4" t="s">
        <v>18</v>
      </c>
      <c r="O57" s="4">
        <v>126.78825082319611</v>
      </c>
      <c r="P57" s="4">
        <v>4</v>
      </c>
      <c r="Q57" s="4">
        <v>4</v>
      </c>
      <c r="R57" s="4" t="s">
        <v>356</v>
      </c>
      <c r="S57" s="4" t="s">
        <v>386</v>
      </c>
      <c r="T57" s="4" t="s">
        <v>551</v>
      </c>
      <c r="U57" s="4" t="s">
        <v>92</v>
      </c>
      <c r="V57" s="4">
        <v>3870</v>
      </c>
      <c r="W57" s="4">
        <v>125.72912541159806</v>
      </c>
    </row>
    <row r="58" spans="1:23" ht="14.5" customHeight="1" x14ac:dyDescent="0.3">
      <c r="A58" s="4" t="s">
        <v>97</v>
      </c>
      <c r="B58" s="4" t="s">
        <v>96</v>
      </c>
      <c r="C58" s="4">
        <v>2020</v>
      </c>
      <c r="D58" s="4" t="s">
        <v>93</v>
      </c>
      <c r="E58" s="4" t="s">
        <v>102</v>
      </c>
      <c r="F58" s="4" t="s">
        <v>53</v>
      </c>
      <c r="G58" s="4" t="s">
        <v>19</v>
      </c>
      <c r="H58" s="4" t="s">
        <v>100</v>
      </c>
      <c r="I58" s="4" t="s">
        <v>21</v>
      </c>
      <c r="J58" s="4" t="s">
        <v>44</v>
      </c>
      <c r="K58" s="4" t="s">
        <v>25</v>
      </c>
      <c r="L58" s="4" t="s">
        <v>22</v>
      </c>
      <c r="M58" s="4" t="s">
        <v>98</v>
      </c>
      <c r="N58" s="4" t="s">
        <v>18</v>
      </c>
      <c r="O58" s="4">
        <v>18</v>
      </c>
      <c r="P58" s="4">
        <v>12</v>
      </c>
      <c r="Q58" s="4">
        <v>28</v>
      </c>
      <c r="R58" s="4" t="s">
        <v>432</v>
      </c>
      <c r="S58" s="4" t="s">
        <v>557</v>
      </c>
      <c r="T58" s="4" t="s">
        <v>553</v>
      </c>
      <c r="V58" s="4">
        <v>1080</v>
      </c>
      <c r="W58" s="4">
        <v>6.2577484804202994</v>
      </c>
    </row>
    <row r="59" spans="1:23" ht="14.5" customHeight="1" x14ac:dyDescent="0.3">
      <c r="A59" s="4" t="s">
        <v>138</v>
      </c>
      <c r="B59" s="4" t="s">
        <v>139</v>
      </c>
      <c r="C59" s="4">
        <v>2020</v>
      </c>
      <c r="D59" s="4" t="s">
        <v>93</v>
      </c>
      <c r="E59" s="4" t="s">
        <v>102</v>
      </c>
      <c r="F59" s="4" t="s">
        <v>28</v>
      </c>
      <c r="G59" s="4" t="s">
        <v>140</v>
      </c>
      <c r="H59" s="4" t="s">
        <v>43</v>
      </c>
      <c r="I59" s="4" t="s">
        <v>32</v>
      </c>
      <c r="J59" s="4" t="s">
        <v>44</v>
      </c>
      <c r="K59" s="4" t="s">
        <v>137</v>
      </c>
      <c r="L59" s="4" t="s">
        <v>74</v>
      </c>
      <c r="M59" s="4" t="s">
        <v>141</v>
      </c>
      <c r="N59" s="4" t="s">
        <v>18</v>
      </c>
      <c r="O59" s="4">
        <v>17.044007561324516</v>
      </c>
      <c r="P59" s="4">
        <v>12</v>
      </c>
      <c r="Q59" s="4">
        <v>18</v>
      </c>
      <c r="R59" s="4" t="s">
        <v>435</v>
      </c>
      <c r="S59" s="4" t="s">
        <v>560</v>
      </c>
      <c r="T59" s="4" t="s">
        <v>551</v>
      </c>
      <c r="U59" s="4" t="s">
        <v>142</v>
      </c>
      <c r="V59" s="4">
        <v>7050</v>
      </c>
      <c r="W59" s="4">
        <v>6.2577484804202994</v>
      </c>
    </row>
    <row r="60" spans="1:23" ht="14.5" customHeight="1" x14ac:dyDescent="0.3">
      <c r="A60" s="4" t="s">
        <v>330</v>
      </c>
      <c r="B60" s="4" t="s">
        <v>252</v>
      </c>
      <c r="C60" s="4">
        <v>2006</v>
      </c>
      <c r="D60" s="4" t="s">
        <v>93</v>
      </c>
      <c r="E60" s="4" t="s">
        <v>102</v>
      </c>
      <c r="F60" s="4" t="s">
        <v>171</v>
      </c>
      <c r="G60" s="4" t="s">
        <v>121</v>
      </c>
      <c r="H60" s="4" t="s">
        <v>30</v>
      </c>
      <c r="I60" s="4" t="s">
        <v>32</v>
      </c>
      <c r="J60" s="4" t="s">
        <v>22</v>
      </c>
      <c r="K60" s="4" t="s">
        <v>137</v>
      </c>
      <c r="L60" s="4" t="s">
        <v>74</v>
      </c>
      <c r="M60" s="4" t="s">
        <v>205</v>
      </c>
      <c r="N60" s="4" t="s">
        <v>18</v>
      </c>
      <c r="O60" s="4">
        <v>16.61</v>
      </c>
      <c r="P60" s="4">
        <v>20</v>
      </c>
      <c r="Q60" s="4">
        <v>60</v>
      </c>
      <c r="R60" s="4" t="s">
        <v>415</v>
      </c>
      <c r="S60" s="4" t="s">
        <v>450</v>
      </c>
      <c r="T60" s="4" t="s">
        <v>551</v>
      </c>
      <c r="V60" s="4">
        <v>1900</v>
      </c>
      <c r="W60" s="4">
        <v>6.2577484804202994</v>
      </c>
    </row>
    <row r="61" spans="1:23" ht="14.5" customHeight="1" x14ac:dyDescent="0.3">
      <c r="A61" s="4" t="s">
        <v>558</v>
      </c>
      <c r="B61" s="4" t="s">
        <v>101</v>
      </c>
      <c r="C61" s="4">
        <v>2019</v>
      </c>
      <c r="D61" s="4" t="s">
        <v>93</v>
      </c>
      <c r="E61" s="4" t="s">
        <v>102</v>
      </c>
      <c r="F61" s="4" t="s">
        <v>47</v>
      </c>
      <c r="G61" s="4" t="s">
        <v>67</v>
      </c>
      <c r="H61" s="4" t="s">
        <v>30</v>
      </c>
      <c r="I61" s="4" t="s">
        <v>32</v>
      </c>
      <c r="J61" s="4" t="s">
        <v>44</v>
      </c>
      <c r="K61" s="4" t="s">
        <v>25</v>
      </c>
      <c r="L61" s="4" t="s">
        <v>22</v>
      </c>
      <c r="M61" s="4" t="s">
        <v>104</v>
      </c>
      <c r="N61" s="4" t="s">
        <v>18</v>
      </c>
      <c r="O61" s="4">
        <v>11.133241678564705</v>
      </c>
      <c r="P61" s="4">
        <v>18</v>
      </c>
      <c r="Q61" s="4">
        <v>48</v>
      </c>
      <c r="R61" s="4" t="s">
        <v>427</v>
      </c>
      <c r="S61" s="4" t="s">
        <v>554</v>
      </c>
      <c r="T61" s="4" t="s">
        <v>551</v>
      </c>
      <c r="U61" s="4" t="s">
        <v>71</v>
      </c>
      <c r="V61" s="4">
        <v>1900</v>
      </c>
      <c r="W61" s="4">
        <v>6.2577484804202994</v>
      </c>
    </row>
    <row r="62" spans="1:23" ht="14.5" customHeight="1" x14ac:dyDescent="0.3">
      <c r="A62" s="4" t="s">
        <v>254</v>
      </c>
      <c r="B62" s="4" t="s">
        <v>253</v>
      </c>
      <c r="C62" s="4">
        <v>2014</v>
      </c>
      <c r="D62" s="4" t="s">
        <v>93</v>
      </c>
      <c r="E62" s="4" t="s">
        <v>102</v>
      </c>
      <c r="F62" s="4" t="s">
        <v>47</v>
      </c>
      <c r="G62" s="4" t="s">
        <v>132</v>
      </c>
      <c r="H62" s="4" t="s">
        <v>204</v>
      </c>
      <c r="I62" s="4" t="s">
        <v>21</v>
      </c>
      <c r="J62" s="4" t="s">
        <v>38</v>
      </c>
      <c r="K62" s="4" t="s">
        <v>22</v>
      </c>
      <c r="L62" s="4" t="s">
        <v>59</v>
      </c>
      <c r="M62" s="4" t="s">
        <v>133</v>
      </c>
      <c r="N62" s="4" t="s">
        <v>18</v>
      </c>
      <c r="O62" s="4">
        <v>7.8375000000000004</v>
      </c>
      <c r="P62" s="4">
        <v>12</v>
      </c>
      <c r="Q62" s="4">
        <v>12</v>
      </c>
      <c r="R62" s="4" t="s">
        <v>418</v>
      </c>
      <c r="S62" s="4" t="s">
        <v>451</v>
      </c>
      <c r="T62" s="4" t="s">
        <v>551</v>
      </c>
      <c r="V62" s="4">
        <v>460</v>
      </c>
      <c r="W62" s="4">
        <v>6.2577484804202994</v>
      </c>
    </row>
    <row r="63" spans="1:23" ht="14.5" customHeight="1" x14ac:dyDescent="0.3">
      <c r="A63" s="4" t="s">
        <v>342</v>
      </c>
      <c r="B63" s="4" t="s">
        <v>274</v>
      </c>
      <c r="C63" s="4">
        <v>2013</v>
      </c>
      <c r="D63" s="4" t="s">
        <v>93</v>
      </c>
      <c r="E63" s="4" t="s">
        <v>562</v>
      </c>
      <c r="F63" s="4" t="s">
        <v>28</v>
      </c>
      <c r="G63" s="4" t="s">
        <v>19</v>
      </c>
      <c r="H63" s="4" t="s">
        <v>275</v>
      </c>
      <c r="I63" s="4" t="s">
        <v>21</v>
      </c>
      <c r="J63" s="4" t="s">
        <v>31</v>
      </c>
      <c r="K63" s="4" t="s">
        <v>33</v>
      </c>
      <c r="L63" s="4" t="s">
        <v>31</v>
      </c>
      <c r="M63" s="4" t="s">
        <v>109</v>
      </c>
      <c r="N63" s="4" t="s">
        <v>18</v>
      </c>
      <c r="O63" s="4">
        <v>10.79</v>
      </c>
      <c r="P63" s="4">
        <v>36</v>
      </c>
      <c r="Q63" s="4">
        <v>36</v>
      </c>
      <c r="R63" s="4" t="s">
        <v>528</v>
      </c>
      <c r="S63" s="4" t="s">
        <v>553</v>
      </c>
      <c r="T63" s="4" t="s">
        <v>553</v>
      </c>
      <c r="V63" s="4">
        <v>4520</v>
      </c>
      <c r="W63" s="4">
        <v>6.5667114419095167</v>
      </c>
    </row>
    <row r="64" spans="1:23" ht="14.5" customHeight="1" x14ac:dyDescent="0.3">
      <c r="A64" s="4" t="s">
        <v>152</v>
      </c>
      <c r="B64" s="4" t="s">
        <v>153</v>
      </c>
      <c r="C64" s="4">
        <v>2020</v>
      </c>
      <c r="D64" s="4" t="s">
        <v>93</v>
      </c>
      <c r="E64" s="4" t="s">
        <v>562</v>
      </c>
      <c r="F64" s="4" t="s">
        <v>42</v>
      </c>
      <c r="G64" s="4" t="s">
        <v>19</v>
      </c>
      <c r="H64" s="4" t="s">
        <v>154</v>
      </c>
      <c r="I64" s="4" t="s">
        <v>114</v>
      </c>
      <c r="J64" s="4" t="s">
        <v>44</v>
      </c>
      <c r="K64" s="4" t="s">
        <v>25</v>
      </c>
      <c r="L64" s="4" t="s">
        <v>31</v>
      </c>
      <c r="M64" s="4" t="s">
        <v>155</v>
      </c>
      <c r="N64" s="4" t="s">
        <v>18</v>
      </c>
      <c r="O64" s="4">
        <v>9.3740370353539202</v>
      </c>
      <c r="P64" s="4">
        <v>12</v>
      </c>
      <c r="Q64" s="4">
        <v>18</v>
      </c>
      <c r="R64" s="4" t="s">
        <v>520</v>
      </c>
      <c r="S64" s="4" t="s">
        <v>551</v>
      </c>
      <c r="T64" s="4" t="s">
        <v>551</v>
      </c>
      <c r="V64" s="4">
        <v>1850</v>
      </c>
      <c r="W64" s="4">
        <v>6.5667114419095167</v>
      </c>
    </row>
    <row r="65" spans="1:23" ht="14.5" customHeight="1" x14ac:dyDescent="0.3">
      <c r="A65" s="4" t="s">
        <v>342</v>
      </c>
      <c r="B65" s="4" t="s">
        <v>274</v>
      </c>
      <c r="C65" s="4">
        <v>2013</v>
      </c>
      <c r="D65" s="4" t="s">
        <v>93</v>
      </c>
      <c r="E65" s="4" t="s">
        <v>108</v>
      </c>
      <c r="F65" s="4" t="s">
        <v>28</v>
      </c>
      <c r="G65" s="4" t="s">
        <v>36</v>
      </c>
      <c r="H65" s="4" t="s">
        <v>275</v>
      </c>
      <c r="I65" s="4" t="s">
        <v>21</v>
      </c>
      <c r="J65" s="4" t="s">
        <v>31</v>
      </c>
      <c r="K65" s="4" t="s">
        <v>33</v>
      </c>
      <c r="L65" s="4" t="s">
        <v>31</v>
      </c>
      <c r="M65" s="4" t="s">
        <v>259</v>
      </c>
      <c r="N65" s="4" t="s">
        <v>18</v>
      </c>
      <c r="O65" s="4">
        <v>11.776999999999999</v>
      </c>
      <c r="P65" s="4">
        <v>12</v>
      </c>
      <c r="Q65" s="4">
        <v>12</v>
      </c>
      <c r="R65" s="4" t="s">
        <v>504</v>
      </c>
      <c r="S65" s="4" t="s">
        <v>551</v>
      </c>
      <c r="T65" s="4" t="s">
        <v>551</v>
      </c>
      <c r="V65" s="4">
        <v>4520</v>
      </c>
      <c r="W65" s="4">
        <v>7.0907315329937743</v>
      </c>
    </row>
    <row r="66" spans="1:23" ht="14.5" customHeight="1" x14ac:dyDescent="0.3">
      <c r="A66" s="4" t="s">
        <v>318</v>
      </c>
      <c r="B66" s="4" t="s">
        <v>221</v>
      </c>
      <c r="C66" s="4">
        <v>2018</v>
      </c>
      <c r="D66" s="4" t="s">
        <v>15</v>
      </c>
      <c r="E66" s="4" t="s">
        <v>16</v>
      </c>
      <c r="F66" s="4" t="s">
        <v>53</v>
      </c>
      <c r="G66" s="4" t="s">
        <v>19</v>
      </c>
      <c r="H66" s="4" t="s">
        <v>222</v>
      </c>
      <c r="I66" s="4" t="s">
        <v>21</v>
      </c>
      <c r="J66" s="4" t="s">
        <v>38</v>
      </c>
      <c r="K66" s="4" t="s">
        <v>33</v>
      </c>
      <c r="L66" s="4" t="s">
        <v>31</v>
      </c>
      <c r="M66" s="4" t="s">
        <v>17</v>
      </c>
      <c r="N66" s="4" t="s">
        <v>18</v>
      </c>
      <c r="O66" s="4">
        <v>0.7954</v>
      </c>
      <c r="P66" s="4">
        <v>24</v>
      </c>
      <c r="Q66" s="4">
        <v>12</v>
      </c>
      <c r="R66" s="4" t="s">
        <v>314</v>
      </c>
      <c r="S66" s="4" t="s">
        <v>471</v>
      </c>
      <c r="T66" s="4" t="s">
        <v>551</v>
      </c>
      <c r="V66" s="4">
        <v>270</v>
      </c>
      <c r="W66" s="4">
        <v>0.27811000000000002</v>
      </c>
    </row>
    <row r="67" spans="1:23" ht="14.5" customHeight="1" x14ac:dyDescent="0.3">
      <c r="A67" s="4" t="s">
        <v>317</v>
      </c>
      <c r="B67" s="4" t="s">
        <v>220</v>
      </c>
      <c r="C67" s="4">
        <v>2006</v>
      </c>
      <c r="D67" s="4" t="s">
        <v>15</v>
      </c>
      <c r="E67" s="4" t="s">
        <v>819</v>
      </c>
      <c r="F67" s="4" t="s">
        <v>47</v>
      </c>
      <c r="G67" s="4" t="s">
        <v>67</v>
      </c>
      <c r="H67" s="4" t="s">
        <v>58</v>
      </c>
      <c r="I67" s="4" t="s">
        <v>32</v>
      </c>
      <c r="J67" s="4" t="s">
        <v>44</v>
      </c>
      <c r="K67" s="4" t="s">
        <v>33</v>
      </c>
      <c r="L67" s="4" t="s">
        <v>31</v>
      </c>
      <c r="M67" s="4" t="s">
        <v>175</v>
      </c>
      <c r="N67" s="4" t="s">
        <v>18</v>
      </c>
      <c r="O67" s="4">
        <v>2.9690000000000001E-2</v>
      </c>
      <c r="P67" s="4">
        <v>36</v>
      </c>
      <c r="Q67" s="4">
        <v>36</v>
      </c>
      <c r="R67" s="4" t="s">
        <v>313</v>
      </c>
      <c r="S67" s="4" t="s">
        <v>469</v>
      </c>
      <c r="T67" s="4" t="s">
        <v>552</v>
      </c>
      <c r="V67" s="4">
        <v>2010</v>
      </c>
      <c r="W67" s="4">
        <v>0.19188</v>
      </c>
    </row>
    <row r="68" spans="1:23" ht="14.5" customHeight="1" x14ac:dyDescent="0.3">
      <c r="A68" s="4" t="s">
        <v>157</v>
      </c>
      <c r="B68" s="4" t="s">
        <v>158</v>
      </c>
      <c r="C68" s="4">
        <v>2021</v>
      </c>
      <c r="D68" s="4" t="s">
        <v>93</v>
      </c>
      <c r="E68" s="4" t="s">
        <v>108</v>
      </c>
      <c r="F68" s="4" t="s">
        <v>42</v>
      </c>
      <c r="G68" s="4" t="s">
        <v>19</v>
      </c>
      <c r="H68" s="4" t="s">
        <v>159</v>
      </c>
      <c r="I68" s="4" t="s">
        <v>114</v>
      </c>
      <c r="J68" s="4" t="s">
        <v>44</v>
      </c>
      <c r="K68" s="4" t="s">
        <v>137</v>
      </c>
      <c r="L68" s="4" t="s">
        <v>22</v>
      </c>
      <c r="M68" s="4" t="s">
        <v>133</v>
      </c>
      <c r="N68" s="4" t="s">
        <v>18</v>
      </c>
      <c r="O68" s="4">
        <v>10.735065942591158</v>
      </c>
      <c r="P68" s="4">
        <v>12</v>
      </c>
      <c r="Q68" s="4">
        <v>12</v>
      </c>
      <c r="R68" s="4" t="s">
        <v>512</v>
      </c>
      <c r="S68" s="4" t="s">
        <v>551</v>
      </c>
      <c r="T68" s="4" t="s">
        <v>551</v>
      </c>
      <c r="V68" s="4">
        <v>7850</v>
      </c>
      <c r="W68" s="4">
        <v>7.0907315329937743</v>
      </c>
    </row>
    <row r="69" spans="1:23" ht="14.5" customHeight="1" x14ac:dyDescent="0.3">
      <c r="A69" s="4" t="s">
        <v>188</v>
      </c>
      <c r="B69" s="4" t="s">
        <v>189</v>
      </c>
      <c r="C69" s="4">
        <v>2012</v>
      </c>
      <c r="D69" s="4" t="s">
        <v>93</v>
      </c>
      <c r="E69" s="4" t="s">
        <v>102</v>
      </c>
      <c r="F69" s="4" t="s">
        <v>28</v>
      </c>
      <c r="G69" s="4" t="s">
        <v>121</v>
      </c>
      <c r="H69" s="4" t="s">
        <v>190</v>
      </c>
      <c r="I69" s="4" t="s">
        <v>21</v>
      </c>
      <c r="J69" s="4" t="s">
        <v>22</v>
      </c>
      <c r="K69" s="4" t="s">
        <v>137</v>
      </c>
      <c r="L69" s="4" t="s">
        <v>31</v>
      </c>
      <c r="M69" s="4" t="s">
        <v>103</v>
      </c>
      <c r="N69" s="4" t="s">
        <v>18</v>
      </c>
      <c r="O69" s="4">
        <v>7.47</v>
      </c>
      <c r="P69" s="4">
        <v>12</v>
      </c>
      <c r="Q69" s="4">
        <v>9</v>
      </c>
      <c r="R69" s="4" t="s">
        <v>405</v>
      </c>
      <c r="S69" s="4" t="s">
        <v>440</v>
      </c>
      <c r="T69" s="4" t="s">
        <v>551</v>
      </c>
      <c r="V69" s="4">
        <v>1190</v>
      </c>
      <c r="W69" s="4">
        <v>6.2577484804202994</v>
      </c>
    </row>
    <row r="70" spans="1:23" ht="14.5" customHeight="1" x14ac:dyDescent="0.3">
      <c r="A70" s="4" t="s">
        <v>199</v>
      </c>
      <c r="B70" s="4" t="s">
        <v>201</v>
      </c>
      <c r="C70" s="4">
        <v>1977</v>
      </c>
      <c r="D70" s="4" t="s">
        <v>15</v>
      </c>
      <c r="E70" s="4" t="s">
        <v>29</v>
      </c>
      <c r="F70" s="4" t="s">
        <v>171</v>
      </c>
      <c r="G70" s="4" t="s">
        <v>178</v>
      </c>
      <c r="H70" s="4" t="s">
        <v>148</v>
      </c>
      <c r="I70" s="4" t="s">
        <v>32</v>
      </c>
      <c r="J70" s="4" t="s">
        <v>38</v>
      </c>
      <c r="K70" s="4" t="s">
        <v>33</v>
      </c>
      <c r="L70" s="4" t="s">
        <v>31</v>
      </c>
      <c r="M70" s="4" t="s">
        <v>175</v>
      </c>
      <c r="N70" s="4" t="s">
        <v>18</v>
      </c>
      <c r="O70" s="4">
        <v>0.188</v>
      </c>
      <c r="P70" s="4">
        <v>12</v>
      </c>
      <c r="Q70" s="4">
        <v>18</v>
      </c>
      <c r="R70" s="4" t="s">
        <v>311</v>
      </c>
      <c r="S70" s="4" t="s">
        <v>376</v>
      </c>
      <c r="T70" s="4" t="s">
        <v>551</v>
      </c>
      <c r="V70" s="4">
        <v>3720</v>
      </c>
      <c r="W70" s="4">
        <v>0.37550651326437307</v>
      </c>
    </row>
    <row r="71" spans="1:23" ht="14.5" customHeight="1" x14ac:dyDescent="0.3">
      <c r="A71" s="4" t="s">
        <v>185</v>
      </c>
      <c r="B71" s="4" t="s">
        <v>186</v>
      </c>
      <c r="C71" s="4">
        <v>2013</v>
      </c>
      <c r="D71" s="4" t="s">
        <v>15</v>
      </c>
      <c r="E71" s="4" t="s">
        <v>29</v>
      </c>
      <c r="F71" s="4" t="s">
        <v>187</v>
      </c>
      <c r="G71" s="4" t="s">
        <v>19</v>
      </c>
      <c r="H71" s="4" t="s">
        <v>174</v>
      </c>
      <c r="I71" s="4" t="s">
        <v>21</v>
      </c>
      <c r="J71" s="4" t="s">
        <v>44</v>
      </c>
      <c r="K71" s="4" t="s">
        <v>33</v>
      </c>
      <c r="L71" s="4" t="s">
        <v>31</v>
      </c>
      <c r="M71" s="4" t="s">
        <v>175</v>
      </c>
      <c r="N71" s="4" t="s">
        <v>18</v>
      </c>
      <c r="O71" s="4">
        <v>0.16500000000000001</v>
      </c>
      <c r="P71" s="4">
        <v>14</v>
      </c>
      <c r="Q71" s="4">
        <v>8</v>
      </c>
      <c r="R71" s="4" t="s">
        <v>307</v>
      </c>
      <c r="S71" s="4" t="s">
        <v>374</v>
      </c>
      <c r="T71" s="4" t="s">
        <v>553</v>
      </c>
      <c r="V71" s="4">
        <v>1500</v>
      </c>
      <c r="W71" s="4">
        <v>0.37550651326437307</v>
      </c>
    </row>
    <row r="72" spans="1:23" ht="14.5" customHeight="1" x14ac:dyDescent="0.3">
      <c r="A72" s="4" t="s">
        <v>243</v>
      </c>
      <c r="B72" s="4" t="s">
        <v>241</v>
      </c>
      <c r="C72" s="4">
        <v>2013</v>
      </c>
      <c r="D72" s="4" t="s">
        <v>93</v>
      </c>
      <c r="E72" s="4" t="s">
        <v>102</v>
      </c>
      <c r="F72" s="4" t="s">
        <v>47</v>
      </c>
      <c r="G72" s="4" t="s">
        <v>67</v>
      </c>
      <c r="H72" s="4" t="s">
        <v>242</v>
      </c>
      <c r="I72" s="4" t="s">
        <v>21</v>
      </c>
      <c r="J72" s="4" t="s">
        <v>31</v>
      </c>
      <c r="K72" s="4" t="s">
        <v>137</v>
      </c>
      <c r="L72" s="4" t="s">
        <v>31</v>
      </c>
      <c r="M72" s="4" t="s">
        <v>205</v>
      </c>
      <c r="N72" s="4" t="s">
        <v>41</v>
      </c>
      <c r="O72" s="4">
        <v>7.46</v>
      </c>
      <c r="P72" s="4">
        <v>12</v>
      </c>
      <c r="Q72" s="4">
        <v>12</v>
      </c>
      <c r="R72" s="4" t="s">
        <v>413</v>
      </c>
      <c r="S72" s="4" t="s">
        <v>446</v>
      </c>
      <c r="T72" s="4" t="s">
        <v>551</v>
      </c>
      <c r="V72" s="4">
        <v>580</v>
      </c>
      <c r="W72" s="4">
        <v>6.2577484804202994</v>
      </c>
    </row>
    <row r="73" spans="1:23" ht="14.5" customHeight="1" x14ac:dyDescent="0.3">
      <c r="A73" s="4" t="s">
        <v>254</v>
      </c>
      <c r="B73" s="4" t="s">
        <v>253</v>
      </c>
      <c r="C73" s="4">
        <v>2014</v>
      </c>
      <c r="D73" s="4" t="s">
        <v>93</v>
      </c>
      <c r="E73" s="4" t="s">
        <v>102</v>
      </c>
      <c r="F73" s="4" t="s">
        <v>47</v>
      </c>
      <c r="G73" s="4" t="s">
        <v>132</v>
      </c>
      <c r="H73" s="4" t="s">
        <v>223</v>
      </c>
      <c r="I73" s="4" t="s">
        <v>21</v>
      </c>
      <c r="J73" s="4" t="s">
        <v>38</v>
      </c>
      <c r="K73" s="4" t="s">
        <v>22</v>
      </c>
      <c r="L73" s="4" t="s">
        <v>59</v>
      </c>
      <c r="M73" s="4" t="s">
        <v>133</v>
      </c>
      <c r="N73" s="4" t="s">
        <v>18</v>
      </c>
      <c r="O73" s="4">
        <v>7.1288</v>
      </c>
      <c r="P73" s="4">
        <v>12</v>
      </c>
      <c r="Q73" s="4">
        <v>12</v>
      </c>
      <c r="R73" s="4" t="s">
        <v>417</v>
      </c>
      <c r="S73" s="4" t="s">
        <v>451</v>
      </c>
      <c r="T73" s="4" t="s">
        <v>551</v>
      </c>
      <c r="V73" s="4">
        <v>780</v>
      </c>
      <c r="W73" s="4">
        <v>6.2577484804202994</v>
      </c>
    </row>
    <row r="74" spans="1:23" ht="14.5" customHeight="1" x14ac:dyDescent="0.3">
      <c r="A74" s="4" t="s">
        <v>110</v>
      </c>
      <c r="B74" s="4" t="s">
        <v>111</v>
      </c>
      <c r="C74" s="4">
        <v>2021</v>
      </c>
      <c r="D74" s="4" t="s">
        <v>93</v>
      </c>
      <c r="E74" s="4" t="s">
        <v>102</v>
      </c>
      <c r="F74" s="4" t="s">
        <v>47</v>
      </c>
      <c r="G74" s="4" t="s">
        <v>112</v>
      </c>
      <c r="H74" s="4" t="s">
        <v>113</v>
      </c>
      <c r="I74" s="4" t="s">
        <v>114</v>
      </c>
      <c r="J74" s="4" t="s">
        <v>22</v>
      </c>
      <c r="K74" s="4" t="s">
        <v>22</v>
      </c>
      <c r="L74" s="4" t="s">
        <v>22</v>
      </c>
      <c r="M74" s="4" t="s">
        <v>115</v>
      </c>
      <c r="N74" s="4" t="s">
        <v>18</v>
      </c>
      <c r="O74" s="4">
        <v>6.8520041967166412</v>
      </c>
      <c r="P74" s="4">
        <v>3</v>
      </c>
      <c r="Q74" s="4">
        <v>3</v>
      </c>
      <c r="R74" s="4" t="s">
        <v>431</v>
      </c>
      <c r="S74" s="4" t="s">
        <v>456</v>
      </c>
      <c r="T74" s="4" t="s">
        <v>553</v>
      </c>
      <c r="U74" s="4" t="s">
        <v>116</v>
      </c>
      <c r="V74" s="4">
        <v>6010</v>
      </c>
      <c r="W74" s="4">
        <v>6.2577484804202994</v>
      </c>
    </row>
    <row r="75" spans="1:23" ht="14.5" customHeight="1" x14ac:dyDescent="0.3">
      <c r="A75" s="4" t="s">
        <v>254</v>
      </c>
      <c r="B75" s="4" t="s">
        <v>253</v>
      </c>
      <c r="C75" s="4">
        <v>2014</v>
      </c>
      <c r="D75" s="4" t="s">
        <v>93</v>
      </c>
      <c r="E75" s="4" t="s">
        <v>102</v>
      </c>
      <c r="F75" s="4" t="s">
        <v>47</v>
      </c>
      <c r="G75" s="4" t="s">
        <v>132</v>
      </c>
      <c r="H75" s="4" t="s">
        <v>242</v>
      </c>
      <c r="I75" s="4" t="s">
        <v>21</v>
      </c>
      <c r="J75" s="4" t="s">
        <v>38</v>
      </c>
      <c r="K75" s="4" t="s">
        <v>22</v>
      </c>
      <c r="L75" s="4" t="s">
        <v>59</v>
      </c>
      <c r="M75" s="4" t="s">
        <v>133</v>
      </c>
      <c r="N75" s="4" t="s">
        <v>18</v>
      </c>
      <c r="O75" s="4">
        <v>6.625</v>
      </c>
      <c r="P75" s="4">
        <v>12</v>
      </c>
      <c r="Q75" s="4">
        <v>12</v>
      </c>
      <c r="R75" s="4" t="s">
        <v>419</v>
      </c>
      <c r="S75" s="4" t="s">
        <v>451</v>
      </c>
      <c r="T75" s="4" t="s">
        <v>551</v>
      </c>
      <c r="V75" s="4">
        <v>580</v>
      </c>
      <c r="W75" s="4">
        <v>6.2577484804202994</v>
      </c>
    </row>
    <row r="76" spans="1:23" ht="14.5" customHeight="1" x14ac:dyDescent="0.3">
      <c r="A76" s="4" t="s">
        <v>97</v>
      </c>
      <c r="B76" s="4" t="s">
        <v>96</v>
      </c>
      <c r="C76" s="4">
        <v>2020</v>
      </c>
      <c r="D76" s="4" t="s">
        <v>93</v>
      </c>
      <c r="E76" s="4" t="s">
        <v>562</v>
      </c>
      <c r="F76" s="4" t="s">
        <v>53</v>
      </c>
      <c r="G76" s="4" t="s">
        <v>19</v>
      </c>
      <c r="H76" s="4" t="s">
        <v>100</v>
      </c>
      <c r="I76" s="4" t="s">
        <v>21</v>
      </c>
      <c r="J76" s="4" t="s">
        <v>44</v>
      </c>
      <c r="K76" s="4" t="s">
        <v>25</v>
      </c>
      <c r="L76" s="4" t="s">
        <v>22</v>
      </c>
      <c r="M76" s="4" t="s">
        <v>98</v>
      </c>
      <c r="N76" s="4" t="s">
        <v>18</v>
      </c>
      <c r="O76" s="4">
        <v>9</v>
      </c>
      <c r="P76" s="4">
        <v>12</v>
      </c>
      <c r="Q76" s="4">
        <v>28</v>
      </c>
      <c r="R76" s="4" t="s">
        <v>519</v>
      </c>
      <c r="S76" s="4" t="s">
        <v>551</v>
      </c>
      <c r="T76" s="4" t="s">
        <v>551</v>
      </c>
      <c r="U76" s="4" t="s">
        <v>99</v>
      </c>
      <c r="V76" s="4">
        <v>1080</v>
      </c>
      <c r="W76" s="4">
        <v>6.5667114419095167</v>
      </c>
    </row>
    <row r="77" spans="1:23" ht="14.5" customHeight="1" x14ac:dyDescent="0.3">
      <c r="A77" s="4" t="s">
        <v>126</v>
      </c>
      <c r="B77" s="4" t="s">
        <v>127</v>
      </c>
      <c r="C77" s="4">
        <v>2019</v>
      </c>
      <c r="D77" s="4" t="s">
        <v>93</v>
      </c>
      <c r="E77" s="4" t="s">
        <v>562</v>
      </c>
      <c r="F77" s="4" t="s">
        <v>47</v>
      </c>
      <c r="G77" s="4" t="s">
        <v>112</v>
      </c>
      <c r="H77" s="4" t="s">
        <v>58</v>
      </c>
      <c r="I77" s="4" t="s">
        <v>32</v>
      </c>
      <c r="J77" s="4" t="s">
        <v>24</v>
      </c>
      <c r="K77" s="4" t="s">
        <v>25</v>
      </c>
      <c r="L77" s="4" t="s">
        <v>59</v>
      </c>
      <c r="M77" s="4" t="s">
        <v>103</v>
      </c>
      <c r="N77" s="4" t="s">
        <v>41</v>
      </c>
      <c r="O77" s="4">
        <v>7.5232373311565652</v>
      </c>
      <c r="P77" s="4">
        <v>23</v>
      </c>
      <c r="Q77" s="4">
        <v>3</v>
      </c>
      <c r="R77" s="4" t="s">
        <v>433</v>
      </c>
      <c r="S77" s="4" t="s">
        <v>552</v>
      </c>
      <c r="T77" s="4" t="s">
        <v>552</v>
      </c>
      <c r="U77" s="4" t="s">
        <v>128</v>
      </c>
      <c r="V77" s="4">
        <v>2010</v>
      </c>
      <c r="W77" s="4">
        <v>6.5667114419095167</v>
      </c>
    </row>
    <row r="78" spans="1:23" ht="14.5" customHeight="1" x14ac:dyDescent="0.3">
      <c r="A78" s="4" t="s">
        <v>110</v>
      </c>
      <c r="B78" s="4" t="s">
        <v>111</v>
      </c>
      <c r="C78" s="4">
        <v>2021</v>
      </c>
      <c r="D78" s="4" t="s">
        <v>93</v>
      </c>
      <c r="E78" s="4" t="s">
        <v>102</v>
      </c>
      <c r="F78" s="4" t="s">
        <v>47</v>
      </c>
      <c r="G78" s="4" t="s">
        <v>112</v>
      </c>
      <c r="H78" s="4" t="s">
        <v>113</v>
      </c>
      <c r="I78" s="4" t="s">
        <v>114</v>
      </c>
      <c r="J78" s="4" t="s">
        <v>22</v>
      </c>
      <c r="K78" s="4" t="s">
        <v>22</v>
      </c>
      <c r="L78" s="4" t="s">
        <v>22</v>
      </c>
      <c r="M78" s="4" t="s">
        <v>117</v>
      </c>
      <c r="N78" s="4" t="s">
        <v>18</v>
      </c>
      <c r="O78" s="4">
        <v>5.8904969608405988</v>
      </c>
      <c r="P78" s="4">
        <v>3</v>
      </c>
      <c r="Q78" s="4">
        <v>3</v>
      </c>
      <c r="R78" s="4" t="s">
        <v>430</v>
      </c>
      <c r="S78" s="4" t="s">
        <v>456</v>
      </c>
      <c r="T78" s="4" t="s">
        <v>553</v>
      </c>
      <c r="U78" s="4" t="s">
        <v>116</v>
      </c>
      <c r="V78" s="4">
        <v>6010</v>
      </c>
      <c r="W78" s="4">
        <v>6.2577484804202994</v>
      </c>
    </row>
    <row r="79" spans="1:23" ht="14.5" customHeight="1" x14ac:dyDescent="0.3">
      <c r="A79" s="4" t="s">
        <v>169</v>
      </c>
      <c r="B79" s="4" t="s">
        <v>170</v>
      </c>
      <c r="C79" s="4">
        <v>2004</v>
      </c>
      <c r="D79" s="4" t="s">
        <v>93</v>
      </c>
      <c r="E79" s="4" t="s">
        <v>102</v>
      </c>
      <c r="F79" s="4" t="s">
        <v>171</v>
      </c>
      <c r="G79" s="4" t="s">
        <v>121</v>
      </c>
      <c r="H79" s="4" t="s">
        <v>68</v>
      </c>
      <c r="I79" s="4" t="s">
        <v>21</v>
      </c>
      <c r="J79" s="4" t="s">
        <v>31</v>
      </c>
      <c r="K79" s="4" t="s">
        <v>25</v>
      </c>
      <c r="L79" s="4" t="s">
        <v>31</v>
      </c>
      <c r="M79" s="4" t="s">
        <v>103</v>
      </c>
      <c r="N79" s="4" t="s">
        <v>18</v>
      </c>
      <c r="O79" s="4">
        <v>5.67</v>
      </c>
      <c r="P79" s="4">
        <v>6</v>
      </c>
      <c r="Q79" s="4">
        <v>12</v>
      </c>
      <c r="R79" s="4" t="s">
        <v>402</v>
      </c>
      <c r="S79" s="4" t="s">
        <v>447</v>
      </c>
      <c r="T79" s="4" t="s">
        <v>553</v>
      </c>
      <c r="V79" s="4">
        <v>1760</v>
      </c>
      <c r="W79" s="4">
        <v>6.2577484804202994</v>
      </c>
    </row>
    <row r="80" spans="1:23" ht="14.5" customHeight="1" x14ac:dyDescent="0.3">
      <c r="A80" s="4" t="s">
        <v>129</v>
      </c>
      <c r="B80" s="4" t="s">
        <v>130</v>
      </c>
      <c r="C80" s="4">
        <v>2017</v>
      </c>
      <c r="D80" s="4" t="s">
        <v>93</v>
      </c>
      <c r="E80" s="4" t="s">
        <v>108</v>
      </c>
      <c r="F80" s="4" t="s">
        <v>42</v>
      </c>
      <c r="G80" s="4" t="s">
        <v>132</v>
      </c>
      <c r="H80" s="4" t="s">
        <v>131</v>
      </c>
      <c r="I80" s="4" t="s">
        <v>32</v>
      </c>
      <c r="J80" s="4" t="s">
        <v>44</v>
      </c>
      <c r="K80" s="4" t="s">
        <v>25</v>
      </c>
      <c r="L80" s="4" t="s">
        <v>22</v>
      </c>
      <c r="M80" s="4" t="s">
        <v>133</v>
      </c>
      <c r="N80" s="4" t="s">
        <v>41</v>
      </c>
      <c r="O80" s="4">
        <v>7.0907315329937743</v>
      </c>
      <c r="P80" s="4">
        <v>3.5</v>
      </c>
      <c r="Q80" s="4">
        <v>3.5</v>
      </c>
      <c r="R80" s="4" t="s">
        <v>509</v>
      </c>
      <c r="S80" s="4" t="s">
        <v>551</v>
      </c>
      <c r="T80" s="4" t="s">
        <v>551</v>
      </c>
      <c r="V80" s="4">
        <v>10610</v>
      </c>
      <c r="W80" s="4">
        <v>7.0907315329937743</v>
      </c>
    </row>
    <row r="81" spans="1:23" ht="14.5" customHeight="1" x14ac:dyDescent="0.3">
      <c r="A81" s="4" t="s">
        <v>254</v>
      </c>
      <c r="B81" s="4" t="s">
        <v>253</v>
      </c>
      <c r="C81" s="4">
        <v>2014</v>
      </c>
      <c r="D81" s="4" t="s">
        <v>93</v>
      </c>
      <c r="E81" s="4" t="s">
        <v>102</v>
      </c>
      <c r="F81" s="4" t="s">
        <v>47</v>
      </c>
      <c r="G81" s="4" t="s">
        <v>132</v>
      </c>
      <c r="H81" s="4" t="s">
        <v>68</v>
      </c>
      <c r="I81" s="4" t="s">
        <v>21</v>
      </c>
      <c r="J81" s="4" t="s">
        <v>38</v>
      </c>
      <c r="K81" s="4" t="s">
        <v>22</v>
      </c>
      <c r="L81" s="4" t="s">
        <v>59</v>
      </c>
      <c r="M81" s="4" t="s">
        <v>133</v>
      </c>
      <c r="N81" s="4" t="s">
        <v>18</v>
      </c>
      <c r="O81" s="4">
        <v>4.6440000000000001</v>
      </c>
      <c r="P81" s="4">
        <v>12</v>
      </c>
      <c r="Q81" s="4">
        <v>12</v>
      </c>
      <c r="R81" s="4" t="s">
        <v>420</v>
      </c>
      <c r="S81" s="4" t="s">
        <v>451</v>
      </c>
      <c r="T81" s="4" t="s">
        <v>551</v>
      </c>
      <c r="V81" s="4">
        <v>1760</v>
      </c>
      <c r="W81" s="4">
        <v>6.2577484804202994</v>
      </c>
    </row>
    <row r="82" spans="1:23" ht="14.5" customHeight="1" x14ac:dyDescent="0.3"/>
    <row r="83" spans="1:23" ht="14.5" customHeight="1" x14ac:dyDescent="0.3">
      <c r="A83" s="4" t="s">
        <v>12</v>
      </c>
      <c r="B83" s="4" t="s">
        <v>13</v>
      </c>
      <c r="C83" s="4">
        <v>2017</v>
      </c>
      <c r="D83" s="4" t="s">
        <v>93</v>
      </c>
      <c r="E83" s="4" t="s">
        <v>562</v>
      </c>
      <c r="F83" s="4" t="s">
        <v>171</v>
      </c>
      <c r="G83" s="4" t="s">
        <v>19</v>
      </c>
      <c r="H83" s="4" t="s">
        <v>20</v>
      </c>
      <c r="I83" s="4" t="s">
        <v>21</v>
      </c>
      <c r="J83" s="4" t="s">
        <v>24</v>
      </c>
      <c r="K83" s="4" t="s">
        <v>25</v>
      </c>
      <c r="L83" s="4" t="s">
        <v>22</v>
      </c>
      <c r="M83" s="4" t="s">
        <v>94</v>
      </c>
      <c r="N83" s="4" t="s">
        <v>18</v>
      </c>
      <c r="O83" s="4">
        <v>6.5667114419095167</v>
      </c>
      <c r="P83" s="4">
        <v>18</v>
      </c>
      <c r="Q83" s="4">
        <v>12</v>
      </c>
      <c r="R83" s="4" t="s">
        <v>549</v>
      </c>
      <c r="S83" s="4" t="s">
        <v>551</v>
      </c>
      <c r="T83" s="4" t="s">
        <v>551</v>
      </c>
      <c r="U83" s="4" t="s">
        <v>95</v>
      </c>
      <c r="V83" s="4">
        <v>800</v>
      </c>
      <c r="W83" s="4">
        <v>6.5667114419095167</v>
      </c>
    </row>
    <row r="84" spans="1:23" ht="14.5" customHeight="1" x14ac:dyDescent="0.3">
      <c r="A84" s="4" t="s">
        <v>12</v>
      </c>
      <c r="B84" s="4" t="s">
        <v>13</v>
      </c>
      <c r="C84" s="4">
        <v>2017</v>
      </c>
      <c r="D84" s="4" t="s">
        <v>93</v>
      </c>
      <c r="E84" s="4" t="s">
        <v>102</v>
      </c>
      <c r="F84" s="4" t="s">
        <v>171</v>
      </c>
      <c r="G84" s="4" t="s">
        <v>19</v>
      </c>
      <c r="H84" s="4" t="s">
        <v>20</v>
      </c>
      <c r="I84" s="4" t="s">
        <v>21</v>
      </c>
      <c r="J84" s="4" t="s">
        <v>24</v>
      </c>
      <c r="K84" s="4" t="s">
        <v>25</v>
      </c>
      <c r="L84" s="4" t="s">
        <v>22</v>
      </c>
      <c r="M84" s="4" t="s">
        <v>94</v>
      </c>
      <c r="N84" s="4" t="s">
        <v>18</v>
      </c>
      <c r="O84" s="4">
        <v>4.4064675796774164</v>
      </c>
      <c r="P84" s="4">
        <v>18</v>
      </c>
      <c r="Q84" s="4">
        <v>12</v>
      </c>
      <c r="R84" s="4" t="s">
        <v>429</v>
      </c>
      <c r="S84" s="4" t="s">
        <v>556</v>
      </c>
      <c r="T84" s="4" t="s">
        <v>551</v>
      </c>
      <c r="U84" s="4" t="s">
        <v>95</v>
      </c>
      <c r="V84" s="4">
        <v>800</v>
      </c>
      <c r="W84" s="4">
        <v>6.2577484804202994</v>
      </c>
    </row>
    <row r="85" spans="1:23" ht="14.5" customHeight="1" x14ac:dyDescent="0.3">
      <c r="A85" s="4" t="s">
        <v>149</v>
      </c>
      <c r="B85" s="4" t="s">
        <v>147</v>
      </c>
      <c r="C85" s="4">
        <v>2021</v>
      </c>
      <c r="D85" s="4" t="s">
        <v>93</v>
      </c>
      <c r="E85" s="4" t="s">
        <v>108</v>
      </c>
      <c r="F85" s="4" t="s">
        <v>42</v>
      </c>
      <c r="G85" s="4" t="s">
        <v>294</v>
      </c>
      <c r="H85" s="4" t="s">
        <v>148</v>
      </c>
      <c r="I85" s="4" t="s">
        <v>32</v>
      </c>
      <c r="J85" s="4" t="s">
        <v>44</v>
      </c>
      <c r="K85" s="4" t="s">
        <v>25</v>
      </c>
      <c r="L85" s="4" t="s">
        <v>74</v>
      </c>
      <c r="M85" s="4" t="s">
        <v>109</v>
      </c>
      <c r="N85" s="4" t="s">
        <v>18</v>
      </c>
      <c r="O85" s="4">
        <v>5.7022436261448002</v>
      </c>
      <c r="P85" s="4">
        <v>36</v>
      </c>
      <c r="Q85" s="4">
        <v>36</v>
      </c>
      <c r="R85" s="4" t="s">
        <v>510</v>
      </c>
      <c r="S85" s="4" t="s">
        <v>551</v>
      </c>
      <c r="T85" s="4" t="s">
        <v>551</v>
      </c>
      <c r="U85" s="4" t="s">
        <v>150</v>
      </c>
      <c r="V85" s="4">
        <v>3720</v>
      </c>
      <c r="W85" s="4">
        <v>7.0907315329937743</v>
      </c>
    </row>
    <row r="86" spans="1:23" ht="14.5" customHeight="1" x14ac:dyDescent="0.3">
      <c r="A86" s="4" t="s">
        <v>321</v>
      </c>
      <c r="B86" s="4" t="s">
        <v>235</v>
      </c>
      <c r="C86" s="4">
        <v>2015</v>
      </c>
      <c r="D86" s="4" t="s">
        <v>93</v>
      </c>
      <c r="E86" s="4" t="s">
        <v>108</v>
      </c>
      <c r="F86" s="4" t="s">
        <v>187</v>
      </c>
      <c r="G86" s="4" t="s">
        <v>19</v>
      </c>
      <c r="H86" s="4" t="s">
        <v>20</v>
      </c>
      <c r="I86" s="4" t="s">
        <v>21</v>
      </c>
      <c r="J86" s="4" t="s">
        <v>31</v>
      </c>
      <c r="K86" s="4" t="s">
        <v>25</v>
      </c>
      <c r="L86" s="4" t="s">
        <v>59</v>
      </c>
      <c r="M86" s="4" t="s">
        <v>236</v>
      </c>
      <c r="N86" s="4" t="s">
        <v>18</v>
      </c>
      <c r="O86" s="4">
        <v>5.0190000000000001</v>
      </c>
      <c r="P86" s="4">
        <v>12</v>
      </c>
      <c r="Q86" s="4">
        <v>9</v>
      </c>
      <c r="R86" s="4" t="s">
        <v>497</v>
      </c>
      <c r="S86" s="4" t="s">
        <v>551</v>
      </c>
      <c r="T86" s="4" t="s">
        <v>551</v>
      </c>
      <c r="V86" s="4">
        <v>800</v>
      </c>
      <c r="W86" s="4">
        <v>7.0907315329937743</v>
      </c>
    </row>
    <row r="87" spans="1:23" ht="14.5" customHeight="1" x14ac:dyDescent="0.3">
      <c r="A87" s="4" t="s">
        <v>240</v>
      </c>
      <c r="B87" s="4" t="s">
        <v>239</v>
      </c>
      <c r="C87" s="4">
        <v>2015</v>
      </c>
      <c r="D87" s="4" t="s">
        <v>93</v>
      </c>
      <c r="E87" s="4" t="s">
        <v>108</v>
      </c>
      <c r="F87" s="4" t="s">
        <v>28</v>
      </c>
      <c r="G87" s="4" t="s">
        <v>178</v>
      </c>
      <c r="H87" s="4" t="s">
        <v>20</v>
      </c>
      <c r="I87" s="4" t="s">
        <v>21</v>
      </c>
      <c r="J87" s="4" t="s">
        <v>44</v>
      </c>
      <c r="K87" s="4" t="s">
        <v>137</v>
      </c>
      <c r="L87" s="4" t="s">
        <v>59</v>
      </c>
      <c r="M87" s="4" t="s">
        <v>205</v>
      </c>
      <c r="N87" s="4" t="s">
        <v>18</v>
      </c>
      <c r="O87" s="4">
        <v>3.883</v>
      </c>
      <c r="P87" s="4">
        <v>12</v>
      </c>
      <c r="Q87" s="4">
        <v>12</v>
      </c>
      <c r="R87" s="4" t="s">
        <v>499</v>
      </c>
      <c r="S87" s="4" t="s">
        <v>551</v>
      </c>
      <c r="T87" s="4" t="s">
        <v>551</v>
      </c>
      <c r="V87" s="4">
        <v>800</v>
      </c>
      <c r="W87" s="4">
        <v>7.0907315329937743</v>
      </c>
    </row>
    <row r="88" spans="1:23" ht="14.5" customHeight="1" x14ac:dyDescent="0.3">
      <c r="A88" s="4" t="s">
        <v>240</v>
      </c>
      <c r="B88" s="4" t="s">
        <v>239</v>
      </c>
      <c r="C88" s="4">
        <v>2015</v>
      </c>
      <c r="D88" s="4" t="s">
        <v>93</v>
      </c>
      <c r="E88" s="4" t="s">
        <v>108</v>
      </c>
      <c r="F88" s="4" t="s">
        <v>28</v>
      </c>
      <c r="G88" s="4" t="s">
        <v>178</v>
      </c>
      <c r="H88" s="4" t="s">
        <v>20</v>
      </c>
      <c r="I88" s="4" t="s">
        <v>21</v>
      </c>
      <c r="J88" s="4" t="s">
        <v>44</v>
      </c>
      <c r="K88" s="4" t="s">
        <v>137</v>
      </c>
      <c r="L88" s="4" t="s">
        <v>74</v>
      </c>
      <c r="M88" s="4" t="s">
        <v>205</v>
      </c>
      <c r="N88" s="4" t="s">
        <v>18</v>
      </c>
      <c r="O88" s="4">
        <v>3.39</v>
      </c>
      <c r="P88" s="4">
        <v>12</v>
      </c>
      <c r="Q88" s="4">
        <v>12</v>
      </c>
      <c r="R88" s="4" t="s">
        <v>498</v>
      </c>
      <c r="S88" s="4" t="s">
        <v>551</v>
      </c>
      <c r="T88" s="4" t="s">
        <v>551</v>
      </c>
      <c r="V88" s="4">
        <v>800</v>
      </c>
      <c r="W88" s="4">
        <v>7.0907315329937743</v>
      </c>
    </row>
    <row r="89" spans="1:23" ht="14.5" customHeight="1" x14ac:dyDescent="0.3">
      <c r="A89" s="4" t="s">
        <v>217</v>
      </c>
      <c r="B89" s="4" t="s">
        <v>218</v>
      </c>
      <c r="C89" s="4">
        <v>2007</v>
      </c>
      <c r="D89" s="4" t="s">
        <v>93</v>
      </c>
      <c r="E89" s="4" t="s">
        <v>102</v>
      </c>
      <c r="F89" s="4" t="s">
        <v>171</v>
      </c>
      <c r="G89" s="4" t="s">
        <v>121</v>
      </c>
      <c r="H89" s="4" t="s">
        <v>20</v>
      </c>
      <c r="I89" s="4" t="s">
        <v>21</v>
      </c>
      <c r="J89" s="4" t="s">
        <v>38</v>
      </c>
      <c r="K89" s="4" t="s">
        <v>33</v>
      </c>
      <c r="L89" s="4" t="s">
        <v>31</v>
      </c>
      <c r="M89" s="4" t="s">
        <v>133</v>
      </c>
      <c r="N89" s="4" t="s">
        <v>18</v>
      </c>
      <c r="O89" s="4">
        <v>3.57</v>
      </c>
      <c r="P89" s="4">
        <v>12</v>
      </c>
      <c r="Q89" s="4">
        <v>12</v>
      </c>
      <c r="R89" s="4" t="s">
        <v>409</v>
      </c>
      <c r="S89" s="4" t="s">
        <v>443</v>
      </c>
      <c r="T89" s="4" t="s">
        <v>551</v>
      </c>
      <c r="V89" s="4">
        <v>800</v>
      </c>
      <c r="W89" s="4">
        <v>6.2577484804202994</v>
      </c>
    </row>
    <row r="90" spans="1:23" ht="14.5" customHeight="1" x14ac:dyDescent="0.3">
      <c r="A90" s="4" t="s">
        <v>134</v>
      </c>
      <c r="B90" s="4" t="s">
        <v>135</v>
      </c>
      <c r="C90" s="4">
        <v>2021</v>
      </c>
      <c r="D90" s="4" t="s">
        <v>93</v>
      </c>
      <c r="E90" s="4" t="s">
        <v>102</v>
      </c>
      <c r="F90" s="4" t="s">
        <v>47</v>
      </c>
      <c r="G90" s="4" t="s">
        <v>112</v>
      </c>
      <c r="H90" s="4" t="s">
        <v>136</v>
      </c>
      <c r="I90" s="4" t="s">
        <v>32</v>
      </c>
      <c r="J90" s="4" t="s">
        <v>44</v>
      </c>
      <c r="K90" s="4" t="s">
        <v>137</v>
      </c>
      <c r="L90" s="4" t="s">
        <v>59</v>
      </c>
      <c r="M90" s="4" t="s">
        <v>133</v>
      </c>
      <c r="N90" s="4" t="s">
        <v>18</v>
      </c>
      <c r="O90" s="4">
        <v>3.2781453654960471</v>
      </c>
      <c r="P90" s="4">
        <v>28</v>
      </c>
      <c r="Q90" s="4">
        <v>24</v>
      </c>
      <c r="R90" s="4" t="s">
        <v>434</v>
      </c>
      <c r="S90" s="4" t="s">
        <v>559</v>
      </c>
      <c r="T90" s="4" t="s">
        <v>552</v>
      </c>
      <c r="V90" s="4">
        <v>2660</v>
      </c>
      <c r="W90" s="4">
        <v>6.2577484804202994</v>
      </c>
    </row>
    <row r="91" spans="1:23" ht="14.5" customHeight="1" x14ac:dyDescent="0.3">
      <c r="A91" s="4" t="s">
        <v>202</v>
      </c>
      <c r="B91" s="4" t="s">
        <v>203</v>
      </c>
      <c r="C91" s="4">
        <v>2013</v>
      </c>
      <c r="D91" s="4" t="s">
        <v>93</v>
      </c>
      <c r="E91" s="4" t="s">
        <v>102</v>
      </c>
      <c r="F91" s="4" t="s">
        <v>47</v>
      </c>
      <c r="G91" s="4" t="s">
        <v>67</v>
      </c>
      <c r="H91" s="4" t="s">
        <v>204</v>
      </c>
      <c r="I91" s="4" t="s">
        <v>21</v>
      </c>
      <c r="J91" s="4" t="s">
        <v>44</v>
      </c>
      <c r="K91" s="4" t="s">
        <v>25</v>
      </c>
      <c r="L91" s="4" t="s">
        <v>59</v>
      </c>
      <c r="M91" s="4" t="s">
        <v>205</v>
      </c>
      <c r="N91" s="4" t="s">
        <v>18</v>
      </c>
      <c r="O91" s="4">
        <v>3.17</v>
      </c>
      <c r="P91" s="4">
        <v>12</v>
      </c>
      <c r="Q91" s="4">
        <v>24</v>
      </c>
      <c r="R91" s="4" t="s">
        <v>407</v>
      </c>
      <c r="S91" s="4" t="s">
        <v>448</v>
      </c>
      <c r="T91" s="4" t="s">
        <v>551</v>
      </c>
      <c r="V91" s="4">
        <v>460</v>
      </c>
      <c r="W91" s="4">
        <v>6.2577484804202994</v>
      </c>
    </row>
    <row r="92" spans="1:23" ht="14.5" customHeight="1" x14ac:dyDescent="0.3">
      <c r="A92" s="4" t="s">
        <v>321</v>
      </c>
      <c r="B92" s="4" t="s">
        <v>235</v>
      </c>
      <c r="C92" s="4">
        <v>2015</v>
      </c>
      <c r="D92" s="4" t="s">
        <v>93</v>
      </c>
      <c r="E92" s="4" t="s">
        <v>108</v>
      </c>
      <c r="F92" s="4" t="s">
        <v>187</v>
      </c>
      <c r="G92" s="4" t="s">
        <v>19</v>
      </c>
      <c r="H92" s="4" t="s">
        <v>20</v>
      </c>
      <c r="I92" s="4" t="s">
        <v>21</v>
      </c>
      <c r="J92" s="4" t="s">
        <v>31</v>
      </c>
      <c r="K92" s="4" t="s">
        <v>25</v>
      </c>
      <c r="L92" s="4" t="s">
        <v>59</v>
      </c>
      <c r="M92" s="4" t="s">
        <v>236</v>
      </c>
      <c r="N92" s="4" t="s">
        <v>18</v>
      </c>
      <c r="O92" s="4">
        <v>2.5590000000000002</v>
      </c>
      <c r="P92" s="4">
        <v>9</v>
      </c>
      <c r="Q92" s="4">
        <v>9</v>
      </c>
      <c r="R92" s="4" t="s">
        <v>496</v>
      </c>
      <c r="S92" s="4" t="s">
        <v>552</v>
      </c>
      <c r="T92" s="4" t="s">
        <v>552</v>
      </c>
      <c r="V92" s="4">
        <v>800</v>
      </c>
      <c r="W92" s="4">
        <v>7.0907315329937743</v>
      </c>
    </row>
    <row r="93" spans="1:23" ht="14.5" customHeight="1" x14ac:dyDescent="0.3">
      <c r="A93" s="4" t="s">
        <v>254</v>
      </c>
      <c r="B93" s="4" t="s">
        <v>253</v>
      </c>
      <c r="C93" s="4">
        <v>2014</v>
      </c>
      <c r="D93" s="4" t="s">
        <v>93</v>
      </c>
      <c r="E93" s="4" t="s">
        <v>102</v>
      </c>
      <c r="F93" s="4" t="s">
        <v>47</v>
      </c>
      <c r="G93" s="4" t="s">
        <v>132</v>
      </c>
      <c r="H93" s="4" t="s">
        <v>204</v>
      </c>
      <c r="I93" s="4" t="s">
        <v>21</v>
      </c>
      <c r="J93" s="4" t="s">
        <v>38</v>
      </c>
      <c r="K93" s="4" t="s">
        <v>22</v>
      </c>
      <c r="L93" s="4" t="s">
        <v>59</v>
      </c>
      <c r="M93" s="4" t="s">
        <v>133</v>
      </c>
      <c r="N93" s="4" t="s">
        <v>18</v>
      </c>
      <c r="O93" s="4">
        <v>3.1110000000000002</v>
      </c>
      <c r="P93" s="4">
        <v>12</v>
      </c>
      <c r="Q93" s="4">
        <v>12</v>
      </c>
      <c r="R93" s="4" t="s">
        <v>416</v>
      </c>
      <c r="S93" s="4" t="s">
        <v>451</v>
      </c>
      <c r="T93" s="4" t="s">
        <v>551</v>
      </c>
      <c r="V93" s="4">
        <v>460</v>
      </c>
      <c r="W93" s="4">
        <v>6.2577484804202994</v>
      </c>
    </row>
    <row r="94" spans="1:23" ht="14.5" customHeight="1" x14ac:dyDescent="0.3">
      <c r="A94" s="4" t="s">
        <v>232</v>
      </c>
      <c r="B94" s="4" t="s">
        <v>230</v>
      </c>
      <c r="C94" s="4">
        <v>2014</v>
      </c>
      <c r="D94" s="4" t="s">
        <v>93</v>
      </c>
      <c r="E94" s="4" t="s">
        <v>102</v>
      </c>
      <c r="F94" s="4" t="s">
        <v>28</v>
      </c>
      <c r="G94" s="4" t="s">
        <v>121</v>
      </c>
      <c r="H94" s="4" t="s">
        <v>231</v>
      </c>
      <c r="I94" s="4" t="s">
        <v>42</v>
      </c>
      <c r="J94" s="4" t="s">
        <v>44</v>
      </c>
      <c r="K94" s="4" t="s">
        <v>137</v>
      </c>
      <c r="L94" s="4" t="s">
        <v>31</v>
      </c>
      <c r="M94" s="4" t="s">
        <v>205</v>
      </c>
      <c r="N94" s="4" t="s">
        <v>18</v>
      </c>
      <c r="O94" s="4">
        <v>2.9590000000000001</v>
      </c>
      <c r="P94" s="4">
        <v>12</v>
      </c>
      <c r="Q94" s="4">
        <v>12</v>
      </c>
      <c r="R94" s="4" t="s">
        <v>411</v>
      </c>
      <c r="S94" s="4" t="s">
        <v>551</v>
      </c>
      <c r="T94" s="4" t="s">
        <v>551</v>
      </c>
      <c r="V94" s="4">
        <v>4570</v>
      </c>
      <c r="W94" s="4">
        <v>6.2577484804202994</v>
      </c>
    </row>
    <row r="95" spans="1:23" ht="14.5" customHeight="1" x14ac:dyDescent="0.3">
      <c r="A95" s="4" t="s">
        <v>246</v>
      </c>
      <c r="B95" s="4" t="s">
        <v>244</v>
      </c>
      <c r="C95" s="4">
        <v>2017</v>
      </c>
      <c r="D95" s="4" t="s">
        <v>93</v>
      </c>
      <c r="E95" s="4" t="s">
        <v>102</v>
      </c>
      <c r="F95" s="4" t="s">
        <v>187</v>
      </c>
      <c r="G95" s="4" t="s">
        <v>132</v>
      </c>
      <c r="H95" s="4" t="s">
        <v>245</v>
      </c>
      <c r="I95" s="4" t="s">
        <v>21</v>
      </c>
      <c r="J95" s="4" t="s">
        <v>38</v>
      </c>
      <c r="K95" s="4" t="s">
        <v>25</v>
      </c>
      <c r="L95" s="4" t="s">
        <v>59</v>
      </c>
      <c r="M95" s="4" t="s">
        <v>205</v>
      </c>
      <c r="N95" s="4" t="s">
        <v>41</v>
      </c>
      <c r="O95" s="4">
        <v>2.42</v>
      </c>
      <c r="P95" s="4">
        <v>12</v>
      </c>
      <c r="Q95" s="4">
        <v>3</v>
      </c>
      <c r="R95" s="4" t="s">
        <v>414</v>
      </c>
      <c r="S95" s="4" t="s">
        <v>449</v>
      </c>
      <c r="T95" s="4" t="s">
        <v>551</v>
      </c>
      <c r="V95" s="4">
        <v>830</v>
      </c>
      <c r="W95" s="4">
        <v>6.2577484804202994</v>
      </c>
    </row>
    <row r="96" spans="1:23" ht="14.5" customHeight="1" x14ac:dyDescent="0.3">
      <c r="A96" s="4" t="s">
        <v>229</v>
      </c>
      <c r="B96" s="4" t="s">
        <v>228</v>
      </c>
      <c r="C96" s="4">
        <v>2016</v>
      </c>
      <c r="D96" s="4" t="s">
        <v>93</v>
      </c>
      <c r="E96" s="4" t="s">
        <v>102</v>
      </c>
      <c r="F96" s="4" t="s">
        <v>28</v>
      </c>
      <c r="G96" s="4" t="s">
        <v>121</v>
      </c>
      <c r="H96" s="4" t="s">
        <v>256</v>
      </c>
      <c r="I96" s="4" t="s">
        <v>21</v>
      </c>
      <c r="J96" s="4" t="s">
        <v>44</v>
      </c>
      <c r="K96" s="4" t="s">
        <v>25</v>
      </c>
      <c r="L96" s="4" t="s">
        <v>59</v>
      </c>
      <c r="M96" s="4" t="s">
        <v>205</v>
      </c>
      <c r="N96" s="4" t="s">
        <v>18</v>
      </c>
      <c r="O96" s="4">
        <v>2.1625000000000001</v>
      </c>
      <c r="P96" s="4">
        <v>6</v>
      </c>
      <c r="Q96" s="4">
        <v>1</v>
      </c>
      <c r="R96" s="4" t="s">
        <v>410</v>
      </c>
      <c r="S96" s="4" t="s">
        <v>444</v>
      </c>
      <c r="T96" s="4" t="s">
        <v>552</v>
      </c>
      <c r="V96" s="4">
        <v>1190</v>
      </c>
      <c r="W96" s="4">
        <v>6.2577484804202994</v>
      </c>
    </row>
    <row r="97" spans="1:23" ht="14.5" customHeight="1" x14ac:dyDescent="0.3">
      <c r="A97" s="4" t="s">
        <v>169</v>
      </c>
      <c r="B97" s="4" t="s">
        <v>170</v>
      </c>
      <c r="C97" s="4">
        <v>2004</v>
      </c>
      <c r="D97" s="4" t="s">
        <v>93</v>
      </c>
      <c r="E97" s="4" t="s">
        <v>102</v>
      </c>
      <c r="F97" s="4" t="s">
        <v>171</v>
      </c>
      <c r="G97" s="4" t="s">
        <v>121</v>
      </c>
      <c r="H97" s="4" t="s">
        <v>68</v>
      </c>
      <c r="I97" s="4" t="s">
        <v>21</v>
      </c>
      <c r="J97" s="4" t="s">
        <v>31</v>
      </c>
      <c r="K97" s="4" t="s">
        <v>25</v>
      </c>
      <c r="L97" s="4" t="s">
        <v>31</v>
      </c>
      <c r="M97" s="4" t="s">
        <v>103</v>
      </c>
      <c r="N97" s="4" t="s">
        <v>18</v>
      </c>
      <c r="O97" s="4">
        <v>1.64</v>
      </c>
      <c r="P97" s="4">
        <v>6</v>
      </c>
      <c r="Q97" s="4">
        <v>12</v>
      </c>
      <c r="R97" s="4" t="s">
        <v>513</v>
      </c>
      <c r="S97" s="4" t="s">
        <v>563</v>
      </c>
      <c r="T97" s="4" t="s">
        <v>552</v>
      </c>
      <c r="V97" s="4">
        <v>1760</v>
      </c>
      <c r="W97" s="4">
        <v>6.2577484804202994</v>
      </c>
    </row>
    <row r="98" spans="1:23" ht="14.5" customHeight="1" x14ac:dyDescent="0.3">
      <c r="A98" s="4" t="s">
        <v>182</v>
      </c>
      <c r="B98" s="4" t="s">
        <v>183</v>
      </c>
      <c r="C98" s="4">
        <v>2005</v>
      </c>
      <c r="D98" s="4" t="s">
        <v>93</v>
      </c>
      <c r="E98" s="4" t="s">
        <v>562</v>
      </c>
      <c r="F98" s="4" t="s">
        <v>47</v>
      </c>
      <c r="G98" s="4" t="s">
        <v>67</v>
      </c>
      <c r="H98" s="4" t="s">
        <v>184</v>
      </c>
      <c r="I98" s="4" t="s">
        <v>32</v>
      </c>
      <c r="J98" s="4" t="s">
        <v>22</v>
      </c>
      <c r="K98" s="4" t="s">
        <v>25</v>
      </c>
      <c r="L98" s="4" t="s">
        <v>59</v>
      </c>
      <c r="M98" s="4" t="s">
        <v>133</v>
      </c>
      <c r="N98" s="4" t="s">
        <v>41</v>
      </c>
      <c r="O98" s="4">
        <v>6.06</v>
      </c>
      <c r="P98" s="4">
        <v>12</v>
      </c>
      <c r="Q98" s="4">
        <v>33</v>
      </c>
      <c r="R98" s="4" t="s">
        <v>514</v>
      </c>
      <c r="S98" s="4" t="s">
        <v>564</v>
      </c>
      <c r="T98" s="4" t="s">
        <v>551</v>
      </c>
      <c r="V98" s="4">
        <v>1190</v>
      </c>
      <c r="W98" s="4">
        <v>6.5667114419095167</v>
      </c>
    </row>
    <row r="99" spans="1:23" ht="14.5" customHeight="1" x14ac:dyDescent="0.3">
      <c r="A99" s="4" t="s">
        <v>208</v>
      </c>
      <c r="B99" s="4" t="s">
        <v>209</v>
      </c>
      <c r="C99" s="4">
        <v>2014</v>
      </c>
      <c r="D99" s="4" t="s">
        <v>93</v>
      </c>
      <c r="E99" s="4" t="s">
        <v>108</v>
      </c>
      <c r="F99" s="4" t="s">
        <v>187</v>
      </c>
      <c r="G99" s="4" t="s">
        <v>19</v>
      </c>
      <c r="H99" s="4" t="s">
        <v>210</v>
      </c>
      <c r="I99" s="4" t="s">
        <v>21</v>
      </c>
      <c r="J99" s="4" t="s">
        <v>38</v>
      </c>
      <c r="K99" s="4" t="s">
        <v>25</v>
      </c>
      <c r="L99" s="4" t="s">
        <v>31</v>
      </c>
      <c r="M99" s="4" t="s">
        <v>211</v>
      </c>
      <c r="N99" s="4" t="s">
        <v>18</v>
      </c>
      <c r="O99" s="4">
        <v>2.2200000000000002</v>
      </c>
      <c r="P99" s="4">
        <v>8</v>
      </c>
      <c r="Q99" s="4">
        <v>3</v>
      </c>
      <c r="R99" s="4" t="s">
        <v>494</v>
      </c>
      <c r="S99" s="4" t="s">
        <v>552</v>
      </c>
      <c r="T99" s="4" t="s">
        <v>552</v>
      </c>
      <c r="V99" s="4">
        <v>920</v>
      </c>
      <c r="W99" s="4">
        <v>7.0907315329937743</v>
      </c>
    </row>
    <row r="100" spans="1:23" ht="14.5" customHeight="1" x14ac:dyDescent="0.3">
      <c r="A100" s="4" t="s">
        <v>542</v>
      </c>
      <c r="B100" s="4" t="s">
        <v>543</v>
      </c>
      <c r="C100" s="4">
        <v>2014</v>
      </c>
      <c r="D100" s="4" t="s">
        <v>93</v>
      </c>
      <c r="E100" s="4" t="s">
        <v>562</v>
      </c>
      <c r="F100" s="4" t="s">
        <v>28</v>
      </c>
      <c r="G100" s="4" t="s">
        <v>19</v>
      </c>
      <c r="H100" s="4" t="s">
        <v>190</v>
      </c>
      <c r="I100" s="4" t="s">
        <v>21</v>
      </c>
      <c r="J100" s="4" t="s">
        <v>44</v>
      </c>
      <c r="K100" s="4" t="s">
        <v>25</v>
      </c>
      <c r="L100" s="4" t="s">
        <v>568</v>
      </c>
      <c r="M100" s="4" t="s">
        <v>571</v>
      </c>
      <c r="N100" s="4" t="s">
        <v>18</v>
      </c>
      <c r="O100" s="4">
        <v>5.91</v>
      </c>
      <c r="P100" s="4">
        <v>41</v>
      </c>
      <c r="Q100" s="4">
        <v>41</v>
      </c>
      <c r="R100" s="4" t="s">
        <v>544</v>
      </c>
      <c r="S100" s="4" t="s">
        <v>551</v>
      </c>
      <c r="T100" s="4" t="s">
        <v>551</v>
      </c>
      <c r="V100" s="4">
        <v>1190</v>
      </c>
      <c r="W100" s="4">
        <v>6.5667114419095167</v>
      </c>
    </row>
    <row r="101" spans="1:23" ht="14.5" customHeight="1" x14ac:dyDescent="0.3">
      <c r="A101" s="4" t="s">
        <v>176</v>
      </c>
      <c r="B101" s="4" t="s">
        <v>177</v>
      </c>
      <c r="C101" s="4">
        <v>1987</v>
      </c>
      <c r="D101" s="4" t="s">
        <v>93</v>
      </c>
      <c r="E101" s="4" t="s">
        <v>102</v>
      </c>
      <c r="F101" s="4" t="s">
        <v>171</v>
      </c>
      <c r="G101" s="4" t="s">
        <v>178</v>
      </c>
      <c r="H101" s="4" t="s">
        <v>179</v>
      </c>
      <c r="I101" s="4" t="s">
        <v>114</v>
      </c>
      <c r="J101" s="4" t="s">
        <v>38</v>
      </c>
      <c r="K101" s="4" t="s">
        <v>137</v>
      </c>
      <c r="L101" s="4" t="s">
        <v>59</v>
      </c>
      <c r="M101" s="4" t="s">
        <v>133</v>
      </c>
      <c r="N101" s="4" t="s">
        <v>18</v>
      </c>
      <c r="O101" s="4">
        <v>1.21</v>
      </c>
      <c r="P101" s="4">
        <v>12</v>
      </c>
      <c r="Q101" s="4">
        <v>12</v>
      </c>
      <c r="R101" s="4" t="s">
        <v>403</v>
      </c>
      <c r="S101" s="4" t="s">
        <v>439</v>
      </c>
      <c r="T101" s="4" t="s">
        <v>552</v>
      </c>
      <c r="V101" s="4">
        <v>4490</v>
      </c>
      <c r="W101" s="4">
        <v>6.2577484804202994</v>
      </c>
    </row>
    <row r="102" spans="1:23" ht="14.5" customHeight="1" x14ac:dyDescent="0.3">
      <c r="A102" s="4" t="s">
        <v>149</v>
      </c>
      <c r="B102" s="4" t="s">
        <v>147</v>
      </c>
      <c r="C102" s="4">
        <v>2021</v>
      </c>
      <c r="D102" s="4" t="s">
        <v>93</v>
      </c>
      <c r="E102" s="4" t="s">
        <v>108</v>
      </c>
      <c r="F102" s="4" t="s">
        <v>42</v>
      </c>
      <c r="G102" s="4" t="s">
        <v>294</v>
      </c>
      <c r="H102" s="4" t="s">
        <v>148</v>
      </c>
      <c r="I102" s="4" t="s">
        <v>32</v>
      </c>
      <c r="J102" s="4" t="s">
        <v>44</v>
      </c>
      <c r="K102" s="4" t="s">
        <v>25</v>
      </c>
      <c r="L102" s="4" t="s">
        <v>74</v>
      </c>
      <c r="M102" s="4" t="s">
        <v>109</v>
      </c>
      <c r="N102" s="4" t="s">
        <v>18</v>
      </c>
      <c r="O102" s="4">
        <v>2.202491600598429</v>
      </c>
      <c r="P102" s="4">
        <v>36</v>
      </c>
      <c r="Q102" s="4">
        <v>36</v>
      </c>
      <c r="R102" s="4" t="s">
        <v>511</v>
      </c>
      <c r="S102" s="4" t="s">
        <v>552</v>
      </c>
      <c r="T102" s="4" t="s">
        <v>552</v>
      </c>
      <c r="U102" s="4" t="s">
        <v>151</v>
      </c>
      <c r="V102" s="4">
        <v>3720</v>
      </c>
      <c r="W102" s="4">
        <v>7.0907315329937743</v>
      </c>
    </row>
    <row r="103" spans="1:23" ht="14.5" customHeight="1" x14ac:dyDescent="0.3">
      <c r="A103" s="4" t="s">
        <v>280</v>
      </c>
      <c r="B103" s="4" t="s">
        <v>278</v>
      </c>
      <c r="C103" s="4">
        <v>2005</v>
      </c>
      <c r="D103" s="4" t="s">
        <v>93</v>
      </c>
      <c r="E103" s="4" t="s">
        <v>102</v>
      </c>
      <c r="F103" s="4" t="s">
        <v>171</v>
      </c>
      <c r="G103" s="4" t="s">
        <v>121</v>
      </c>
      <c r="H103" s="4" t="s">
        <v>190</v>
      </c>
      <c r="I103" s="4" t="s">
        <v>21</v>
      </c>
      <c r="J103" s="4" t="s">
        <v>38</v>
      </c>
      <c r="K103" s="4" t="s">
        <v>137</v>
      </c>
      <c r="L103" s="4" t="s">
        <v>74</v>
      </c>
      <c r="M103" s="4" t="s">
        <v>259</v>
      </c>
      <c r="N103" s="4" t="s">
        <v>41</v>
      </c>
      <c r="O103" s="4">
        <v>1.1497999999999999</v>
      </c>
      <c r="P103" s="4">
        <v>12</v>
      </c>
      <c r="Q103" s="4">
        <v>60</v>
      </c>
      <c r="R103" s="4" t="s">
        <v>424</v>
      </c>
      <c r="S103" s="4" t="s">
        <v>453</v>
      </c>
      <c r="T103" s="4" t="s">
        <v>552</v>
      </c>
      <c r="U103" s="4">
        <f>40100/21</f>
        <v>1909.5238095238096</v>
      </c>
      <c r="V103" s="4">
        <v>1190</v>
      </c>
      <c r="W103" s="4">
        <v>6.2577484804202994</v>
      </c>
    </row>
    <row r="104" spans="1:23" ht="14.5" customHeight="1" x14ac:dyDescent="0.3">
      <c r="A104" s="4" t="s">
        <v>280</v>
      </c>
      <c r="B104" s="4" t="s">
        <v>278</v>
      </c>
      <c r="C104" s="4">
        <v>2005</v>
      </c>
      <c r="D104" s="4" t="s">
        <v>93</v>
      </c>
      <c r="E104" s="4" t="s">
        <v>102</v>
      </c>
      <c r="F104" s="4" t="s">
        <v>171</v>
      </c>
      <c r="G104" s="4" t="s">
        <v>121</v>
      </c>
      <c r="H104" s="4" t="s">
        <v>279</v>
      </c>
      <c r="I104" s="4" t="s">
        <v>114</v>
      </c>
      <c r="J104" s="4" t="s">
        <v>38</v>
      </c>
      <c r="K104" s="4" t="s">
        <v>137</v>
      </c>
      <c r="L104" s="4" t="s">
        <v>74</v>
      </c>
      <c r="M104" s="4" t="s">
        <v>259</v>
      </c>
      <c r="N104" s="4" t="s">
        <v>41</v>
      </c>
      <c r="O104" s="4">
        <v>1.0948</v>
      </c>
      <c r="P104" s="4">
        <v>12</v>
      </c>
      <c r="Q104" s="4">
        <v>60</v>
      </c>
      <c r="R104" s="4" t="s">
        <v>422</v>
      </c>
      <c r="S104" s="4" t="s">
        <v>453</v>
      </c>
      <c r="T104" s="4" t="s">
        <v>552</v>
      </c>
      <c r="U104" s="4">
        <f>12438/52</f>
        <v>239.19230769230768</v>
      </c>
      <c r="V104" s="4">
        <v>7260</v>
      </c>
      <c r="W104" s="4">
        <v>6.2577484804202994</v>
      </c>
    </row>
    <row r="105" spans="1:23" ht="14.5" customHeight="1" x14ac:dyDescent="0.3">
      <c r="A105" s="4" t="s">
        <v>540</v>
      </c>
      <c r="B105" s="4" t="s">
        <v>547</v>
      </c>
      <c r="C105" s="4">
        <v>2018</v>
      </c>
      <c r="D105" s="4" t="s">
        <v>93</v>
      </c>
      <c r="E105" s="4" t="s">
        <v>562</v>
      </c>
      <c r="F105" s="4" t="s">
        <v>28</v>
      </c>
      <c r="G105" s="4" t="s">
        <v>178</v>
      </c>
      <c r="H105" s="4" t="s">
        <v>100</v>
      </c>
      <c r="I105" s="4" t="s">
        <v>21</v>
      </c>
      <c r="J105" s="4" t="s">
        <v>44</v>
      </c>
      <c r="K105" s="4" t="s">
        <v>25</v>
      </c>
      <c r="L105" s="4" t="s">
        <v>31</v>
      </c>
      <c r="M105" s="4" t="s">
        <v>570</v>
      </c>
      <c r="N105" s="4" t="s">
        <v>41</v>
      </c>
      <c r="O105" s="4">
        <v>5.5</v>
      </c>
      <c r="P105" s="4">
        <v>2</v>
      </c>
      <c r="Q105" s="4">
        <v>2</v>
      </c>
      <c r="R105" s="4" t="s">
        <v>541</v>
      </c>
      <c r="S105" s="4" t="s">
        <v>551</v>
      </c>
      <c r="T105" s="4" t="s">
        <v>551</v>
      </c>
      <c r="V105" s="4">
        <v>1080</v>
      </c>
      <c r="W105" s="4">
        <v>6.5667114419095167</v>
      </c>
    </row>
    <row r="106" spans="1:23" ht="14.5" customHeight="1" x14ac:dyDescent="0.3">
      <c r="A106" s="4" t="s">
        <v>330</v>
      </c>
      <c r="B106" s="4" t="s">
        <v>252</v>
      </c>
      <c r="C106" s="4">
        <v>2006</v>
      </c>
      <c r="D106" s="4" t="s">
        <v>93</v>
      </c>
      <c r="E106" s="4" t="s">
        <v>562</v>
      </c>
      <c r="F106" s="4" t="s">
        <v>171</v>
      </c>
      <c r="G106" s="4" t="s">
        <v>121</v>
      </c>
      <c r="H106" s="4" t="s">
        <v>30</v>
      </c>
      <c r="I106" s="4" t="s">
        <v>32</v>
      </c>
      <c r="J106" s="4" t="s">
        <v>568</v>
      </c>
      <c r="K106" s="4" t="s">
        <v>137</v>
      </c>
      <c r="L106" s="4" t="s">
        <v>74</v>
      </c>
      <c r="M106" s="4" t="s">
        <v>17</v>
      </c>
      <c r="N106" s="4" t="s">
        <v>18</v>
      </c>
      <c r="O106" s="4">
        <v>3.87</v>
      </c>
      <c r="P106" s="4">
        <v>36</v>
      </c>
      <c r="Q106" s="4">
        <v>36</v>
      </c>
      <c r="R106" s="4" t="s">
        <v>527</v>
      </c>
      <c r="S106" s="4" t="s">
        <v>551</v>
      </c>
      <c r="T106" s="4" t="s">
        <v>551</v>
      </c>
      <c r="V106" s="4">
        <v>1900</v>
      </c>
      <c r="W106" s="4">
        <v>6.5667114419095167</v>
      </c>
    </row>
    <row r="107" spans="1:23" ht="14.5" customHeight="1" x14ac:dyDescent="0.3">
      <c r="A107" s="4" t="s">
        <v>271</v>
      </c>
      <c r="B107" s="4" t="s">
        <v>270</v>
      </c>
      <c r="C107" s="4">
        <v>2013</v>
      </c>
      <c r="D107" s="4" t="s">
        <v>93</v>
      </c>
      <c r="E107" s="4" t="s">
        <v>102</v>
      </c>
      <c r="F107" s="4" t="s">
        <v>47</v>
      </c>
      <c r="G107" s="4" t="s">
        <v>67</v>
      </c>
      <c r="H107" s="4" t="s">
        <v>58</v>
      </c>
      <c r="I107" s="4" t="s">
        <v>32</v>
      </c>
      <c r="J107" s="4" t="s">
        <v>44</v>
      </c>
      <c r="K107" s="4" t="s">
        <v>25</v>
      </c>
      <c r="L107" s="4" t="s">
        <v>74</v>
      </c>
      <c r="M107" s="4" t="s">
        <v>259</v>
      </c>
      <c r="N107" s="4" t="s">
        <v>18</v>
      </c>
      <c r="O107" s="4">
        <v>0.95655900000000005</v>
      </c>
      <c r="P107" s="4">
        <v>5</v>
      </c>
      <c r="Q107" s="4">
        <v>5</v>
      </c>
      <c r="R107" s="4" t="s">
        <v>421</v>
      </c>
      <c r="S107" s="4" t="s">
        <v>444</v>
      </c>
      <c r="T107" s="4" t="s">
        <v>552</v>
      </c>
      <c r="V107" s="4">
        <v>2010</v>
      </c>
      <c r="W107" s="4">
        <v>6.2577484804202994</v>
      </c>
    </row>
    <row r="108" spans="1:23" ht="14.5" customHeight="1" x14ac:dyDescent="0.3">
      <c r="A108" s="4" t="s">
        <v>227</v>
      </c>
      <c r="B108" s="4" t="s">
        <v>226</v>
      </c>
      <c r="C108" s="4">
        <v>2011</v>
      </c>
      <c r="D108" s="4" t="s">
        <v>93</v>
      </c>
      <c r="E108" s="4" t="s">
        <v>562</v>
      </c>
      <c r="F108" s="4" t="s">
        <v>53</v>
      </c>
      <c r="G108" s="4" t="s">
        <v>19</v>
      </c>
      <c r="H108" s="4" t="s">
        <v>68</v>
      </c>
      <c r="I108" s="4" t="s">
        <v>21</v>
      </c>
      <c r="J108" s="4" t="s">
        <v>31</v>
      </c>
      <c r="K108" s="4" t="s">
        <v>25</v>
      </c>
      <c r="L108" s="4" t="s">
        <v>59</v>
      </c>
      <c r="M108" s="4" t="s">
        <v>205</v>
      </c>
      <c r="N108" s="4" t="s">
        <v>41</v>
      </c>
      <c r="O108" s="4">
        <v>2.82</v>
      </c>
      <c r="P108" s="4">
        <v>1</v>
      </c>
      <c r="Q108" s="4">
        <v>1</v>
      </c>
      <c r="R108" s="4" t="s">
        <v>516</v>
      </c>
      <c r="S108" s="4" t="s">
        <v>551</v>
      </c>
      <c r="T108" s="4" t="s">
        <v>551</v>
      </c>
      <c r="V108" s="4">
        <v>1760</v>
      </c>
      <c r="W108" s="4">
        <v>6.5667114419095167</v>
      </c>
    </row>
    <row r="109" spans="1:23" ht="15" customHeight="1" x14ac:dyDescent="0.3">
      <c r="A109" s="4" t="s">
        <v>280</v>
      </c>
      <c r="B109" s="4" t="s">
        <v>278</v>
      </c>
      <c r="C109" s="4">
        <v>2005</v>
      </c>
      <c r="D109" s="4" t="s">
        <v>93</v>
      </c>
      <c r="E109" s="4" t="s">
        <v>102</v>
      </c>
      <c r="F109" s="4" t="s">
        <v>171</v>
      </c>
      <c r="G109" s="4" t="s">
        <v>121</v>
      </c>
      <c r="H109" s="4" t="s">
        <v>279</v>
      </c>
      <c r="I109" s="4" t="s">
        <v>114</v>
      </c>
      <c r="J109" s="4" t="s">
        <v>38</v>
      </c>
      <c r="K109" s="4" t="s">
        <v>137</v>
      </c>
      <c r="L109" s="4" t="s">
        <v>74</v>
      </c>
      <c r="M109" s="4" t="s">
        <v>259</v>
      </c>
      <c r="N109" s="4" t="s">
        <v>41</v>
      </c>
      <c r="O109" s="4">
        <v>0.15475</v>
      </c>
      <c r="P109" s="4">
        <v>12</v>
      </c>
      <c r="Q109" s="4">
        <v>60</v>
      </c>
      <c r="R109" s="4" t="s">
        <v>423</v>
      </c>
      <c r="S109" s="4" t="s">
        <v>453</v>
      </c>
      <c r="T109" s="4" t="s">
        <v>552</v>
      </c>
      <c r="U109" s="4">
        <f>46200/240</f>
        <v>192.5</v>
      </c>
      <c r="V109" s="4">
        <v>7260</v>
      </c>
      <c r="W109" s="4">
        <v>6.2577484804202994</v>
      </c>
    </row>
    <row r="110" spans="1:23" ht="14.5" customHeight="1" x14ac:dyDescent="0.3">
      <c r="A110" s="4" t="s">
        <v>532</v>
      </c>
      <c r="B110" s="4" t="s">
        <v>538</v>
      </c>
      <c r="C110" s="4">
        <v>2001</v>
      </c>
      <c r="D110" s="4" t="s">
        <v>93</v>
      </c>
      <c r="E110" s="4" t="s">
        <v>562</v>
      </c>
      <c r="F110" s="4" t="s">
        <v>28</v>
      </c>
      <c r="G110" s="4" t="s">
        <v>36</v>
      </c>
      <c r="H110" s="4" t="s">
        <v>533</v>
      </c>
      <c r="I110" s="4" t="s">
        <v>567</v>
      </c>
      <c r="J110" s="4" t="s">
        <v>31</v>
      </c>
      <c r="K110" s="4" t="s">
        <v>137</v>
      </c>
      <c r="L110" s="4" t="s">
        <v>31</v>
      </c>
      <c r="M110" s="4" t="s">
        <v>103</v>
      </c>
      <c r="N110" s="4" t="s">
        <v>569</v>
      </c>
      <c r="O110" s="4">
        <v>2.56</v>
      </c>
      <c r="P110" s="4">
        <v>12</v>
      </c>
      <c r="Q110" s="4">
        <v>12</v>
      </c>
      <c r="R110" s="4" t="s">
        <v>534</v>
      </c>
      <c r="S110" s="4" t="s">
        <v>552</v>
      </c>
      <c r="T110" s="4" t="s">
        <v>552</v>
      </c>
      <c r="V110" s="4">
        <v>6330</v>
      </c>
      <c r="W110" s="4">
        <v>6.5667114419095167</v>
      </c>
    </row>
    <row r="111" spans="1:23" ht="14.5" customHeight="1" x14ac:dyDescent="0.3">
      <c r="A111" s="4" t="s">
        <v>545</v>
      </c>
      <c r="B111" s="4" t="s">
        <v>546</v>
      </c>
      <c r="C111" s="4">
        <v>2021</v>
      </c>
      <c r="D111" s="4" t="s">
        <v>93</v>
      </c>
      <c r="E111" s="4" t="s">
        <v>562</v>
      </c>
      <c r="F111" s="4" t="s">
        <v>28</v>
      </c>
      <c r="G111" s="4" t="s">
        <v>178</v>
      </c>
      <c r="H111" s="4" t="s">
        <v>120</v>
      </c>
      <c r="I111" s="4" t="s">
        <v>21</v>
      </c>
      <c r="J111" s="4" t="s">
        <v>44</v>
      </c>
      <c r="K111" s="4" t="s">
        <v>25</v>
      </c>
      <c r="L111" s="4" t="s">
        <v>568</v>
      </c>
      <c r="M111" s="4" t="s">
        <v>17</v>
      </c>
      <c r="N111" s="4" t="s">
        <v>18</v>
      </c>
      <c r="O111" s="4">
        <v>2.12</v>
      </c>
      <c r="P111" s="4">
        <v>6</v>
      </c>
      <c r="Q111" s="4">
        <v>6</v>
      </c>
      <c r="R111" s="4" t="s">
        <v>548</v>
      </c>
      <c r="S111" s="4" t="s">
        <v>552</v>
      </c>
      <c r="T111" s="4" t="s">
        <v>552</v>
      </c>
      <c r="V111" s="4">
        <v>5410</v>
      </c>
      <c r="W111" s="4">
        <v>6.5667114419095167</v>
      </c>
    </row>
    <row r="112" spans="1:23" ht="14.5" customHeight="1" x14ac:dyDescent="0.3">
      <c r="A112" s="4" t="s">
        <v>271</v>
      </c>
      <c r="B112" s="4" t="s">
        <v>270</v>
      </c>
      <c r="C112" s="4">
        <v>2013</v>
      </c>
      <c r="D112" s="4" t="s">
        <v>93</v>
      </c>
      <c r="E112" s="4" t="s">
        <v>108</v>
      </c>
      <c r="F112" s="4" t="s">
        <v>47</v>
      </c>
      <c r="G112" s="4" t="s">
        <v>67</v>
      </c>
      <c r="H112" s="4" t="s">
        <v>58</v>
      </c>
      <c r="I112" s="4" t="s">
        <v>32</v>
      </c>
      <c r="J112" s="4" t="s">
        <v>44</v>
      </c>
      <c r="K112" s="4" t="s">
        <v>25</v>
      </c>
      <c r="L112" s="4" t="s">
        <v>74</v>
      </c>
      <c r="M112" s="4" t="s">
        <v>259</v>
      </c>
      <c r="N112" s="4" t="s">
        <v>18</v>
      </c>
      <c r="O112" s="4">
        <v>0.93378000000000005</v>
      </c>
      <c r="P112" s="4">
        <v>5</v>
      </c>
      <c r="Q112" s="4">
        <v>5</v>
      </c>
      <c r="R112" s="4" t="s">
        <v>503</v>
      </c>
      <c r="S112" s="4" t="s">
        <v>552</v>
      </c>
      <c r="T112" s="4" t="s">
        <v>552</v>
      </c>
      <c r="V112" s="4">
        <v>2010</v>
      </c>
      <c r="W112" s="4">
        <v>7.0907315329937743</v>
      </c>
    </row>
    <row r="113" spans="1:23" ht="14.5" customHeight="1" x14ac:dyDescent="0.3">
      <c r="A113" s="4" t="s">
        <v>280</v>
      </c>
      <c r="B113" s="4" t="s">
        <v>278</v>
      </c>
      <c r="C113" s="4">
        <v>2005</v>
      </c>
      <c r="D113" s="4" t="s">
        <v>93</v>
      </c>
      <c r="E113" s="4" t="s">
        <v>108</v>
      </c>
      <c r="F113" s="4" t="s">
        <v>171</v>
      </c>
      <c r="G113" s="4" t="s">
        <v>121</v>
      </c>
      <c r="H113" s="4" t="s">
        <v>190</v>
      </c>
      <c r="I113" s="4" t="s">
        <v>21</v>
      </c>
      <c r="J113" s="4" t="s">
        <v>38</v>
      </c>
      <c r="K113" s="4" t="s">
        <v>137</v>
      </c>
      <c r="L113" s="4" t="s">
        <v>74</v>
      </c>
      <c r="M113" s="4" t="s">
        <v>259</v>
      </c>
      <c r="N113" s="4" t="s">
        <v>41</v>
      </c>
      <c r="O113" s="4">
        <v>0.34758</v>
      </c>
      <c r="P113" s="4">
        <v>12</v>
      </c>
      <c r="Q113" s="4">
        <v>60</v>
      </c>
      <c r="R113" s="4" t="s">
        <v>505</v>
      </c>
      <c r="S113" s="4" t="s">
        <v>552</v>
      </c>
      <c r="T113" s="4" t="s">
        <v>552</v>
      </c>
      <c r="V113" s="4">
        <v>1190</v>
      </c>
      <c r="W113" s="4">
        <v>7.0907315329937743</v>
      </c>
    </row>
    <row r="114" spans="1:23" ht="14.5" customHeight="1" x14ac:dyDescent="0.3">
      <c r="A114" s="4" t="s">
        <v>535</v>
      </c>
      <c r="B114" s="4" t="s">
        <v>536</v>
      </c>
      <c r="C114" s="4">
        <v>2018</v>
      </c>
      <c r="D114" s="4" t="s">
        <v>93</v>
      </c>
      <c r="E114" s="4" t="s">
        <v>562</v>
      </c>
      <c r="F114" s="4" t="s">
        <v>47</v>
      </c>
      <c r="G114" s="4" t="s">
        <v>112</v>
      </c>
      <c r="H114" s="4" t="s">
        <v>30</v>
      </c>
      <c r="I114" s="4" t="s">
        <v>32</v>
      </c>
      <c r="J114" s="4" t="s">
        <v>24</v>
      </c>
      <c r="K114" s="4" t="s">
        <v>25</v>
      </c>
      <c r="L114" s="4" t="s">
        <v>74</v>
      </c>
      <c r="M114" s="4" t="s">
        <v>17</v>
      </c>
      <c r="N114" s="4" t="s">
        <v>18</v>
      </c>
      <c r="O114" s="4">
        <v>1.98</v>
      </c>
      <c r="P114" s="4">
        <v>11</v>
      </c>
      <c r="Q114" s="4">
        <v>11</v>
      </c>
      <c r="R114" s="4" t="s">
        <v>539</v>
      </c>
      <c r="S114" s="4" t="s">
        <v>551</v>
      </c>
      <c r="T114" s="4" t="s">
        <v>551</v>
      </c>
      <c r="V114" s="4">
        <v>1900</v>
      </c>
      <c r="W114" s="4">
        <v>6.5667114419095167</v>
      </c>
    </row>
    <row r="115" spans="1:23" ht="14.5" customHeight="1" x14ac:dyDescent="0.3">
      <c r="A115" s="4" t="s">
        <v>12</v>
      </c>
      <c r="B115" s="4" t="s">
        <v>13</v>
      </c>
      <c r="C115" s="4">
        <v>2017</v>
      </c>
      <c r="D115" s="4" t="s">
        <v>93</v>
      </c>
      <c r="E115" s="4" t="s">
        <v>562</v>
      </c>
      <c r="F115" s="4" t="s">
        <v>171</v>
      </c>
      <c r="G115" s="4" t="s">
        <v>19</v>
      </c>
      <c r="H115" s="4" t="s">
        <v>20</v>
      </c>
      <c r="I115" s="4" t="s">
        <v>21</v>
      </c>
      <c r="J115" s="4" t="s">
        <v>24</v>
      </c>
      <c r="K115" s="4" t="s">
        <v>25</v>
      </c>
      <c r="L115" s="4" t="s">
        <v>22</v>
      </c>
      <c r="M115" s="4" t="s">
        <v>40</v>
      </c>
      <c r="N115" s="4" t="s">
        <v>18</v>
      </c>
      <c r="O115" s="4">
        <v>1.8915568146907935</v>
      </c>
      <c r="P115" s="4">
        <v>18</v>
      </c>
      <c r="Q115" s="4">
        <v>12</v>
      </c>
      <c r="R115" s="4" t="s">
        <v>358</v>
      </c>
      <c r="S115" s="4" t="s">
        <v>487</v>
      </c>
      <c r="T115" s="4" t="s">
        <v>553</v>
      </c>
      <c r="V115" s="4">
        <v>800</v>
      </c>
      <c r="W115" s="4">
        <v>6.5667114419095167</v>
      </c>
    </row>
    <row r="116" spans="1:23" ht="14.5" customHeight="1" x14ac:dyDescent="0.3">
      <c r="A116" s="4" t="s">
        <v>282</v>
      </c>
      <c r="B116" s="4" t="s">
        <v>281</v>
      </c>
      <c r="C116" s="4">
        <v>2006</v>
      </c>
      <c r="D116" s="4" t="s">
        <v>93</v>
      </c>
      <c r="E116" s="4" t="s">
        <v>562</v>
      </c>
      <c r="F116" s="4" t="s">
        <v>53</v>
      </c>
      <c r="G116" s="4" t="s">
        <v>19</v>
      </c>
      <c r="H116" s="4" t="s">
        <v>20</v>
      </c>
      <c r="I116" s="4" t="s">
        <v>21</v>
      </c>
      <c r="J116" s="4" t="s">
        <v>31</v>
      </c>
      <c r="K116" s="4" t="s">
        <v>25</v>
      </c>
      <c r="L116" s="4" t="s">
        <v>74</v>
      </c>
      <c r="M116" s="4" t="s">
        <v>17</v>
      </c>
      <c r="N116" s="4" t="s">
        <v>41</v>
      </c>
      <c r="O116" s="4">
        <v>1.87</v>
      </c>
      <c r="P116" s="4">
        <v>36</v>
      </c>
      <c r="Q116" s="4">
        <v>36</v>
      </c>
      <c r="R116" s="4" t="s">
        <v>529</v>
      </c>
      <c r="S116" s="4" t="s">
        <v>553</v>
      </c>
      <c r="T116" s="4" t="s">
        <v>553</v>
      </c>
      <c r="V116" s="4">
        <v>800</v>
      </c>
      <c r="W116" s="4">
        <v>6.5667114419095167</v>
      </c>
    </row>
    <row r="117" spans="1:23" ht="14.5" customHeight="1" x14ac:dyDescent="0.3">
      <c r="A117" s="4" t="s">
        <v>350</v>
      </c>
      <c r="B117" s="4" t="s">
        <v>285</v>
      </c>
      <c r="C117" s="4">
        <v>2017</v>
      </c>
      <c r="D117" s="4" t="s">
        <v>93</v>
      </c>
      <c r="E117" s="4" t="s">
        <v>562</v>
      </c>
      <c r="F117" s="4" t="s">
        <v>28</v>
      </c>
      <c r="G117" s="4" t="s">
        <v>19</v>
      </c>
      <c r="H117" s="4" t="s">
        <v>37</v>
      </c>
      <c r="I117" s="4" t="s">
        <v>32</v>
      </c>
      <c r="J117" s="4" t="s">
        <v>44</v>
      </c>
      <c r="K117" s="4" t="s">
        <v>25</v>
      </c>
      <c r="L117" s="4" t="s">
        <v>74</v>
      </c>
      <c r="M117" s="4" t="s">
        <v>259</v>
      </c>
      <c r="N117" s="4" t="s">
        <v>18</v>
      </c>
      <c r="O117" s="4">
        <v>1.7822</v>
      </c>
      <c r="P117" s="4">
        <v>12</v>
      </c>
      <c r="Q117" s="4">
        <v>12</v>
      </c>
      <c r="R117" s="4" t="s">
        <v>517</v>
      </c>
      <c r="S117" s="4" t="s">
        <v>552</v>
      </c>
      <c r="T117" s="4" t="s">
        <v>552</v>
      </c>
      <c r="V117" s="4">
        <v>3870</v>
      </c>
      <c r="W117" s="4">
        <v>6.5667114419095167</v>
      </c>
    </row>
    <row r="118" spans="1:23" ht="14.5" customHeight="1" x14ac:dyDescent="0.3">
      <c r="A118" s="4" t="s">
        <v>172</v>
      </c>
      <c r="B118" s="4" t="s">
        <v>173</v>
      </c>
      <c r="C118" s="4">
        <v>2001</v>
      </c>
      <c r="D118" s="4" t="s">
        <v>15</v>
      </c>
      <c r="E118" s="4" t="s">
        <v>29</v>
      </c>
      <c r="F118" s="4" t="s">
        <v>171</v>
      </c>
      <c r="G118" s="4" t="s">
        <v>42</v>
      </c>
      <c r="H118" s="4" t="s">
        <v>174</v>
      </c>
      <c r="I118" s="4" t="s">
        <v>21</v>
      </c>
      <c r="J118" s="4" t="s">
        <v>22</v>
      </c>
      <c r="K118" s="4" t="s">
        <v>25</v>
      </c>
      <c r="L118" s="4" t="s">
        <v>31</v>
      </c>
      <c r="M118" s="4" t="s">
        <v>175</v>
      </c>
      <c r="N118" s="4" t="s">
        <v>18</v>
      </c>
      <c r="O118" s="4">
        <v>4.3900000000000002E-2</v>
      </c>
      <c r="P118" s="4">
        <v>3</v>
      </c>
      <c r="Q118" s="4">
        <v>3</v>
      </c>
      <c r="R118" s="4" t="s">
        <v>305</v>
      </c>
      <c r="S118" s="4" t="s">
        <v>399</v>
      </c>
      <c r="T118" s="4" t="s">
        <v>551</v>
      </c>
      <c r="V118" s="4">
        <v>1500</v>
      </c>
      <c r="W118" s="4">
        <v>0.37550651326437307</v>
      </c>
    </row>
    <row r="119" spans="1:23" ht="14.5" customHeight="1" x14ac:dyDescent="0.3">
      <c r="A119" s="4" t="s">
        <v>51</v>
      </c>
      <c r="B119" s="4" t="s">
        <v>52</v>
      </c>
      <c r="C119" s="4">
        <v>2017</v>
      </c>
      <c r="D119" s="4" t="s">
        <v>15</v>
      </c>
      <c r="E119" s="4" t="s">
        <v>29</v>
      </c>
      <c r="F119" s="4" t="s">
        <v>53</v>
      </c>
      <c r="G119" s="4" t="s">
        <v>19</v>
      </c>
      <c r="H119" s="4" t="s">
        <v>30</v>
      </c>
      <c r="I119" s="4" t="s">
        <v>32</v>
      </c>
      <c r="J119" s="4" t="s">
        <v>44</v>
      </c>
      <c r="K119" s="4" t="s">
        <v>33</v>
      </c>
      <c r="L119" s="4" t="s">
        <v>31</v>
      </c>
      <c r="M119" s="4" t="s">
        <v>40</v>
      </c>
      <c r="N119" s="4" t="s">
        <v>18</v>
      </c>
      <c r="O119" s="4">
        <v>1.0249799831341689E-2</v>
      </c>
      <c r="P119" s="4">
        <v>2</v>
      </c>
      <c r="Q119" s="4">
        <v>2</v>
      </c>
      <c r="R119" s="4" t="s">
        <v>364</v>
      </c>
      <c r="S119" s="4" t="s">
        <v>491</v>
      </c>
      <c r="T119" s="4" t="s">
        <v>553</v>
      </c>
      <c r="V119" s="4">
        <v>1900</v>
      </c>
      <c r="W119" s="4">
        <v>0.37550651326437307</v>
      </c>
    </row>
    <row r="120" spans="1:23" ht="14.5" customHeight="1" x14ac:dyDescent="0.3">
      <c r="A120" s="4" t="s">
        <v>60</v>
      </c>
      <c r="B120" s="4" t="s">
        <v>56</v>
      </c>
      <c r="C120" s="4">
        <v>2017</v>
      </c>
      <c r="D120" s="4" t="s">
        <v>15</v>
      </c>
      <c r="E120" s="4" t="s">
        <v>819</v>
      </c>
      <c r="F120" s="4" t="s">
        <v>42</v>
      </c>
      <c r="G120" s="4" t="s">
        <v>19</v>
      </c>
      <c r="H120" s="4" t="s">
        <v>58</v>
      </c>
      <c r="I120" s="4" t="s">
        <v>32</v>
      </c>
      <c r="J120" s="4" t="s">
        <v>44</v>
      </c>
      <c r="K120" s="4" t="s">
        <v>25</v>
      </c>
      <c r="L120" s="4" t="s">
        <v>59</v>
      </c>
      <c r="M120" s="4" t="s">
        <v>17</v>
      </c>
      <c r="N120" s="4" t="s">
        <v>18</v>
      </c>
      <c r="O120" s="4">
        <v>1.8638284686766822E-2</v>
      </c>
      <c r="P120" s="4">
        <v>24</v>
      </c>
      <c r="Q120" s="4">
        <v>3</v>
      </c>
      <c r="R120" s="4" t="s">
        <v>365</v>
      </c>
      <c r="S120" s="4" t="s">
        <v>464</v>
      </c>
      <c r="T120" s="4" t="s">
        <v>552</v>
      </c>
      <c r="U120" s="4" t="s">
        <v>71</v>
      </c>
      <c r="V120" s="4">
        <v>2010</v>
      </c>
      <c r="W120" s="4">
        <v>0.31290000000000001</v>
      </c>
    </row>
    <row r="121" spans="1:23" ht="14.5" customHeight="1" x14ac:dyDescent="0.3"/>
    <row r="122" spans="1:23" ht="14.5" customHeight="1" x14ac:dyDescent="0.3">
      <c r="A122" s="4" t="s">
        <v>176</v>
      </c>
      <c r="B122" s="4" t="s">
        <v>177</v>
      </c>
      <c r="C122" s="4">
        <v>1987</v>
      </c>
      <c r="D122" s="4" t="s">
        <v>15</v>
      </c>
      <c r="E122" s="4" t="s">
        <v>16</v>
      </c>
      <c r="F122" s="4" t="s">
        <v>171</v>
      </c>
      <c r="G122" s="4" t="s">
        <v>178</v>
      </c>
      <c r="H122" s="4" t="s">
        <v>179</v>
      </c>
      <c r="I122" s="4" t="s">
        <v>114</v>
      </c>
      <c r="J122" s="4" t="s">
        <v>38</v>
      </c>
      <c r="K122" s="4" t="s">
        <v>137</v>
      </c>
      <c r="L122" s="4" t="s">
        <v>59</v>
      </c>
      <c r="M122" s="4" t="s">
        <v>175</v>
      </c>
      <c r="N122" s="4" t="s">
        <v>18</v>
      </c>
      <c r="O122" s="4">
        <v>0.76500000000000001</v>
      </c>
      <c r="P122" s="4">
        <v>12</v>
      </c>
      <c r="Q122" s="4">
        <v>10</v>
      </c>
      <c r="R122" s="4" t="s">
        <v>306</v>
      </c>
      <c r="S122" s="4" t="s">
        <v>373</v>
      </c>
      <c r="T122" s="4" t="s">
        <v>553</v>
      </c>
      <c r="V122" s="4">
        <v>4490</v>
      </c>
      <c r="W122" s="4">
        <v>0.27811000000000002</v>
      </c>
    </row>
    <row r="123" spans="1:23" ht="14.5" customHeight="1" x14ac:dyDescent="0.3">
      <c r="A123" s="4" t="s">
        <v>331</v>
      </c>
      <c r="B123" s="4" t="s">
        <v>255</v>
      </c>
      <c r="C123" s="4">
        <v>1992</v>
      </c>
      <c r="D123" s="4" t="s">
        <v>15</v>
      </c>
      <c r="E123" s="4" t="s">
        <v>16</v>
      </c>
      <c r="F123" s="4" t="s">
        <v>171</v>
      </c>
      <c r="G123" s="4" t="s">
        <v>178</v>
      </c>
      <c r="H123" s="4" t="s">
        <v>256</v>
      </c>
      <c r="I123" s="4" t="s">
        <v>21</v>
      </c>
      <c r="J123" s="4" t="s">
        <v>31</v>
      </c>
      <c r="K123" s="4" t="s">
        <v>33</v>
      </c>
      <c r="L123" s="4" t="s">
        <v>31</v>
      </c>
      <c r="M123" s="4" t="s">
        <v>175</v>
      </c>
      <c r="N123" s="4" t="s">
        <v>18</v>
      </c>
      <c r="O123" s="4">
        <v>0.27811000000000002</v>
      </c>
      <c r="P123" s="4">
        <v>5</v>
      </c>
      <c r="Q123" s="4">
        <v>12</v>
      </c>
      <c r="R123" s="4" t="s">
        <v>333</v>
      </c>
      <c r="S123" s="4" t="s">
        <v>477</v>
      </c>
      <c r="T123" s="4" t="s">
        <v>551</v>
      </c>
      <c r="V123" s="4">
        <v>1090</v>
      </c>
      <c r="W123" s="4">
        <v>0.27811000000000002</v>
      </c>
    </row>
    <row r="124" spans="1:23" ht="14.5" customHeight="1" x14ac:dyDescent="0.3">
      <c r="A124" s="4" t="s">
        <v>61</v>
      </c>
      <c r="B124" s="4" t="s">
        <v>62</v>
      </c>
      <c r="C124" s="4">
        <v>2018</v>
      </c>
      <c r="D124" s="4" t="s">
        <v>15</v>
      </c>
      <c r="E124" s="4" t="s">
        <v>16</v>
      </c>
      <c r="F124" s="4" t="s">
        <v>42</v>
      </c>
      <c r="G124" s="4" t="s">
        <v>19</v>
      </c>
      <c r="H124" s="4" t="s">
        <v>63</v>
      </c>
      <c r="I124" s="4" t="s">
        <v>32</v>
      </c>
      <c r="J124" s="4" t="s">
        <v>44</v>
      </c>
      <c r="K124" s="4" t="s">
        <v>33</v>
      </c>
      <c r="L124" s="4" t="s">
        <v>22</v>
      </c>
      <c r="M124" s="4" t="s">
        <v>40</v>
      </c>
      <c r="N124" s="4" t="s">
        <v>18</v>
      </c>
      <c r="O124" s="4">
        <v>0.17381908930407858</v>
      </c>
      <c r="P124" s="4">
        <v>20</v>
      </c>
      <c r="Q124" s="4">
        <v>20</v>
      </c>
      <c r="R124" s="4" t="s">
        <v>368</v>
      </c>
      <c r="S124" s="4" t="s">
        <v>493</v>
      </c>
      <c r="T124" s="4" t="s">
        <v>551</v>
      </c>
      <c r="V124" s="4">
        <v>4720</v>
      </c>
      <c r="W124" s="4">
        <v>0.27811000000000002</v>
      </c>
    </row>
    <row r="125" spans="1:23" ht="14.5" customHeight="1" x14ac:dyDescent="0.3">
      <c r="A125" s="4" t="s">
        <v>217</v>
      </c>
      <c r="B125" s="4" t="s">
        <v>218</v>
      </c>
      <c r="C125" s="4">
        <v>2007</v>
      </c>
      <c r="D125" s="4" t="s">
        <v>15</v>
      </c>
      <c r="E125" s="4" t="s">
        <v>16</v>
      </c>
      <c r="F125" s="4" t="s">
        <v>171</v>
      </c>
      <c r="G125" s="4" t="s">
        <v>121</v>
      </c>
      <c r="H125" s="4" t="s">
        <v>20</v>
      </c>
      <c r="I125" s="4" t="s">
        <v>21</v>
      </c>
      <c r="J125" s="4" t="s">
        <v>38</v>
      </c>
      <c r="K125" s="4" t="s">
        <v>33</v>
      </c>
      <c r="L125" s="4" t="s">
        <v>31</v>
      </c>
      <c r="M125" s="4" t="s">
        <v>175</v>
      </c>
      <c r="N125" s="4" t="s">
        <v>18</v>
      </c>
      <c r="O125" s="4">
        <v>0.1434</v>
      </c>
      <c r="P125" s="4">
        <v>12</v>
      </c>
      <c r="Q125" s="4">
        <v>12</v>
      </c>
      <c r="R125" s="4" t="s">
        <v>370</v>
      </c>
      <c r="S125" s="4" t="s">
        <v>466</v>
      </c>
      <c r="T125" s="4" t="s">
        <v>551</v>
      </c>
      <c r="V125" s="4">
        <v>800</v>
      </c>
      <c r="W125" s="4">
        <v>0.27811000000000002</v>
      </c>
    </row>
    <row r="126" spans="1:23" ht="14.5" customHeight="1" x14ac:dyDescent="0.3">
      <c r="A126" s="4" t="s">
        <v>322</v>
      </c>
      <c r="B126" s="4" t="s">
        <v>237</v>
      </c>
      <c r="C126" s="4">
        <v>2006</v>
      </c>
      <c r="D126" s="4" t="s">
        <v>15</v>
      </c>
      <c r="E126" s="4" t="s">
        <v>16</v>
      </c>
      <c r="F126" s="4" t="s">
        <v>171</v>
      </c>
      <c r="G126" s="4" t="s">
        <v>19</v>
      </c>
      <c r="H126" s="4" t="s">
        <v>238</v>
      </c>
      <c r="I126" s="4" t="s">
        <v>32</v>
      </c>
      <c r="J126" s="4" t="s">
        <v>31</v>
      </c>
      <c r="K126" s="4" t="s">
        <v>33</v>
      </c>
      <c r="L126" s="4" t="s">
        <v>31</v>
      </c>
      <c r="M126" s="4" t="s">
        <v>175</v>
      </c>
      <c r="N126" s="4" t="s">
        <v>18</v>
      </c>
      <c r="O126" s="4">
        <v>0.13037799999999999</v>
      </c>
      <c r="P126" s="4">
        <v>5</v>
      </c>
      <c r="Q126" s="4">
        <v>5</v>
      </c>
      <c r="R126" s="4" t="s">
        <v>323</v>
      </c>
      <c r="S126" s="4" t="s">
        <v>475</v>
      </c>
      <c r="T126" s="4" t="s">
        <v>552</v>
      </c>
      <c r="V126" s="4">
        <v>3430</v>
      </c>
      <c r="W126" s="4">
        <v>0.27811000000000002</v>
      </c>
    </row>
    <row r="127" spans="1:23" ht="14.5" customHeight="1" x14ac:dyDescent="0.3">
      <c r="A127" s="4" t="s">
        <v>251</v>
      </c>
      <c r="B127" s="4" t="s">
        <v>250</v>
      </c>
      <c r="C127" s="4">
        <v>2002</v>
      </c>
      <c r="D127" s="4" t="s">
        <v>15</v>
      </c>
      <c r="E127" s="4" t="s">
        <v>16</v>
      </c>
      <c r="F127" s="4" t="s">
        <v>171</v>
      </c>
      <c r="G127" s="4" t="s">
        <v>121</v>
      </c>
      <c r="H127" s="4" t="s">
        <v>68</v>
      </c>
      <c r="I127" s="4" t="s">
        <v>21</v>
      </c>
      <c r="J127" s="4" t="s">
        <v>44</v>
      </c>
      <c r="K127" s="4" t="s">
        <v>33</v>
      </c>
      <c r="L127" s="4" t="s">
        <v>31</v>
      </c>
      <c r="M127" s="4" t="s">
        <v>175</v>
      </c>
      <c r="N127" s="4" t="s">
        <v>18</v>
      </c>
      <c r="O127" s="4">
        <v>4.2900000000000001E-2</v>
      </c>
      <c r="P127" s="4">
        <v>22</v>
      </c>
      <c r="Q127" s="4">
        <v>22</v>
      </c>
      <c r="R127" s="4" t="s">
        <v>329</v>
      </c>
      <c r="S127" s="4" t="s">
        <v>478</v>
      </c>
      <c r="T127" s="4" t="s">
        <v>551</v>
      </c>
      <c r="V127" s="4">
        <v>1760</v>
      </c>
      <c r="W127" s="4">
        <v>0.27811000000000002</v>
      </c>
    </row>
    <row r="128" spans="1:23" ht="14.5" customHeight="1" x14ac:dyDescent="0.3">
      <c r="A128" s="4" t="s">
        <v>317</v>
      </c>
      <c r="B128" s="4" t="s">
        <v>220</v>
      </c>
      <c r="C128" s="4">
        <v>2006</v>
      </c>
      <c r="D128" s="4" t="s">
        <v>15</v>
      </c>
      <c r="E128" s="4" t="s">
        <v>16</v>
      </c>
      <c r="F128" s="4" t="s">
        <v>47</v>
      </c>
      <c r="G128" s="4" t="s">
        <v>67</v>
      </c>
      <c r="H128" s="4" t="s">
        <v>58</v>
      </c>
      <c r="I128" s="4" t="s">
        <v>32</v>
      </c>
      <c r="J128" s="4" t="s">
        <v>44</v>
      </c>
      <c r="K128" s="4" t="s">
        <v>33</v>
      </c>
      <c r="L128" s="4" t="s">
        <v>31</v>
      </c>
      <c r="M128" s="4" t="s">
        <v>175</v>
      </c>
      <c r="N128" s="4" t="s">
        <v>18</v>
      </c>
      <c r="O128" s="4">
        <v>1.3299999999999999E-2</v>
      </c>
      <c r="P128" s="4">
        <v>36</v>
      </c>
      <c r="Q128" s="4">
        <v>36</v>
      </c>
      <c r="R128" s="4" t="s">
        <v>313</v>
      </c>
      <c r="S128" s="4" t="s">
        <v>467</v>
      </c>
      <c r="T128" s="4" t="s">
        <v>552</v>
      </c>
      <c r="V128" s="4">
        <v>2010</v>
      </c>
      <c r="W128" s="4">
        <v>0.27811000000000002</v>
      </c>
    </row>
    <row r="129" spans="1:23" ht="14.5" customHeight="1" x14ac:dyDescent="0.3">
      <c r="A129" s="4" t="s">
        <v>265</v>
      </c>
      <c r="B129" s="4" t="s">
        <v>260</v>
      </c>
      <c r="C129" s="4">
        <v>2003</v>
      </c>
      <c r="D129" s="4" t="s">
        <v>15</v>
      </c>
      <c r="E129" s="4" t="s">
        <v>57</v>
      </c>
      <c r="F129" s="4" t="s">
        <v>171</v>
      </c>
      <c r="G129" s="4" t="s">
        <v>67</v>
      </c>
      <c r="H129" s="4" t="s">
        <v>261</v>
      </c>
      <c r="I129" s="4" t="s">
        <v>21</v>
      </c>
      <c r="J129" s="4" t="s">
        <v>44</v>
      </c>
      <c r="K129" s="4" t="s">
        <v>33</v>
      </c>
      <c r="L129" s="4" t="s">
        <v>31</v>
      </c>
      <c r="M129" s="4" t="s">
        <v>262</v>
      </c>
      <c r="N129" s="4" t="s">
        <v>18</v>
      </c>
      <c r="O129" s="4">
        <v>4.0980000000000003E-2</v>
      </c>
      <c r="P129" s="4">
        <v>12</v>
      </c>
      <c r="Q129" s="4">
        <v>12</v>
      </c>
      <c r="S129" s="4" t="s">
        <v>479</v>
      </c>
      <c r="T129" s="4" t="s">
        <v>552</v>
      </c>
      <c r="V129" s="4">
        <v>3000</v>
      </c>
      <c r="W129" s="4">
        <v>0.1173</v>
      </c>
    </row>
    <row r="130" spans="1:23" ht="14.5" customHeight="1" x14ac:dyDescent="0.3">
      <c r="A130" s="4" t="s">
        <v>60</v>
      </c>
      <c r="B130" s="4" t="s">
        <v>56</v>
      </c>
      <c r="C130" s="4">
        <v>2017</v>
      </c>
      <c r="D130" s="4" t="s">
        <v>15</v>
      </c>
      <c r="E130" s="4" t="s">
        <v>57</v>
      </c>
      <c r="F130" s="4" t="s">
        <v>42</v>
      </c>
      <c r="G130" s="4" t="s">
        <v>19</v>
      </c>
      <c r="H130" s="4" t="s">
        <v>58</v>
      </c>
      <c r="I130" s="4" t="s">
        <v>32</v>
      </c>
      <c r="J130" s="4" t="s">
        <v>44</v>
      </c>
      <c r="K130" s="4" t="s">
        <v>25</v>
      </c>
      <c r="L130" s="4" t="s">
        <v>59</v>
      </c>
      <c r="M130" s="4" t="s">
        <v>17</v>
      </c>
      <c r="N130" s="4" t="s">
        <v>18</v>
      </c>
      <c r="O130" s="4">
        <v>1.8638284686766822E-2</v>
      </c>
      <c r="P130" s="4">
        <v>12</v>
      </c>
      <c r="Q130" s="4">
        <v>3</v>
      </c>
      <c r="R130" s="4" t="s">
        <v>365</v>
      </c>
      <c r="S130" s="4" t="s">
        <v>492</v>
      </c>
      <c r="T130" s="4" t="s">
        <v>552</v>
      </c>
      <c r="U130" s="4" t="s">
        <v>71</v>
      </c>
      <c r="V130" s="4">
        <v>2010</v>
      </c>
      <c r="W130" s="4">
        <v>0.1173</v>
      </c>
    </row>
    <row r="131" spans="1:23" ht="14.5" customHeight="1" x14ac:dyDescent="0.3">
      <c r="A131" s="4" t="s">
        <v>60</v>
      </c>
      <c r="B131" s="4" t="s">
        <v>56</v>
      </c>
      <c r="C131" s="4">
        <v>2017</v>
      </c>
      <c r="D131" s="4" t="s">
        <v>15</v>
      </c>
      <c r="E131" s="4" t="s">
        <v>57</v>
      </c>
      <c r="F131" s="4" t="s">
        <v>42</v>
      </c>
      <c r="G131" s="4" t="s">
        <v>19</v>
      </c>
      <c r="H131" s="4" t="s">
        <v>58</v>
      </c>
      <c r="I131" s="4" t="s">
        <v>32</v>
      </c>
      <c r="J131" s="4" t="s">
        <v>44</v>
      </c>
      <c r="K131" s="4" t="s">
        <v>25</v>
      </c>
      <c r="L131" s="4" t="s">
        <v>59</v>
      </c>
      <c r="M131" s="4" t="s">
        <v>17</v>
      </c>
      <c r="N131" s="4" t="s">
        <v>18</v>
      </c>
      <c r="O131" s="4">
        <v>8.7709574996549747E-3</v>
      </c>
      <c r="P131" s="4">
        <v>24</v>
      </c>
      <c r="Q131" s="4">
        <v>3</v>
      </c>
      <c r="R131" s="4" t="s">
        <v>365</v>
      </c>
      <c r="S131" s="4" t="s">
        <v>492</v>
      </c>
      <c r="T131" s="4" t="s">
        <v>552</v>
      </c>
      <c r="U131" s="4" t="s">
        <v>71</v>
      </c>
      <c r="V131" s="4">
        <v>2010</v>
      </c>
      <c r="W131" s="4">
        <v>0.1173</v>
      </c>
    </row>
    <row r="132" spans="1:23" ht="14.5" customHeight="1" x14ac:dyDescent="0.3">
      <c r="A132" s="4" t="s">
        <v>271</v>
      </c>
      <c r="B132" s="4" t="s">
        <v>270</v>
      </c>
      <c r="C132" s="4">
        <v>2013</v>
      </c>
      <c r="D132" s="4" t="s">
        <v>15</v>
      </c>
      <c r="E132" s="4" t="s">
        <v>57</v>
      </c>
      <c r="F132" s="4" t="s">
        <v>47</v>
      </c>
      <c r="G132" s="4" t="s">
        <v>67</v>
      </c>
      <c r="H132" s="4" t="s">
        <v>58</v>
      </c>
      <c r="I132" s="4" t="s">
        <v>32</v>
      </c>
      <c r="J132" s="4" t="s">
        <v>44</v>
      </c>
      <c r="K132" s="4" t="s">
        <v>25</v>
      </c>
      <c r="L132" s="4" t="s">
        <v>74</v>
      </c>
      <c r="M132" s="4" t="s">
        <v>262</v>
      </c>
      <c r="N132" s="4" t="s">
        <v>18</v>
      </c>
      <c r="O132" s="4">
        <v>6.0800000000000003E-3</v>
      </c>
      <c r="P132" s="4">
        <v>5</v>
      </c>
      <c r="Q132" s="4">
        <v>5</v>
      </c>
      <c r="R132" s="4" t="s">
        <v>339</v>
      </c>
      <c r="S132" s="4" t="s">
        <v>481</v>
      </c>
      <c r="T132" s="4" t="s">
        <v>552</v>
      </c>
      <c r="V132" s="4">
        <v>2010</v>
      </c>
      <c r="W132" s="4">
        <v>0.1173</v>
      </c>
    </row>
    <row r="133" spans="1:23" ht="14.5" customHeight="1" x14ac:dyDescent="0.3"/>
    <row r="134" spans="1:23" ht="14.5" customHeight="1" x14ac:dyDescent="0.3">
      <c r="A134" s="4" t="s">
        <v>271</v>
      </c>
      <c r="B134" s="4" t="s">
        <v>270</v>
      </c>
      <c r="C134" s="4">
        <v>2013</v>
      </c>
      <c r="D134" s="4" t="s">
        <v>200</v>
      </c>
      <c r="E134" s="4" t="s">
        <v>162</v>
      </c>
      <c r="F134" s="4" t="s">
        <v>47</v>
      </c>
      <c r="G134" s="4" t="s">
        <v>67</v>
      </c>
      <c r="H134" s="4" t="s">
        <v>58</v>
      </c>
      <c r="I134" s="4" t="s">
        <v>32</v>
      </c>
      <c r="J134" s="4" t="s">
        <v>44</v>
      </c>
      <c r="K134" s="4" t="s">
        <v>25</v>
      </c>
      <c r="L134" s="4" t="s">
        <v>74</v>
      </c>
      <c r="M134" s="4" t="s">
        <v>262</v>
      </c>
      <c r="N134" s="4" t="s">
        <v>18</v>
      </c>
      <c r="O134" s="4">
        <v>0.41166999999999998</v>
      </c>
      <c r="P134" s="4">
        <v>5</v>
      </c>
      <c r="Q134" s="4">
        <v>5</v>
      </c>
      <c r="R134" s="4" t="s">
        <v>339</v>
      </c>
      <c r="S134" s="4" t="s">
        <v>461</v>
      </c>
      <c r="T134" s="4" t="s">
        <v>551</v>
      </c>
      <c r="V134" s="4">
        <v>2010</v>
      </c>
      <c r="W134" s="4">
        <v>0.51200000000000001</v>
      </c>
    </row>
    <row r="135" spans="1:23" ht="14.5" customHeight="1" x14ac:dyDescent="0.3">
      <c r="A135" s="4" t="s">
        <v>240</v>
      </c>
      <c r="B135" s="4" t="s">
        <v>239</v>
      </c>
      <c r="C135" s="4">
        <v>2015</v>
      </c>
      <c r="D135" s="4" t="s">
        <v>200</v>
      </c>
      <c r="E135" s="4" t="s">
        <v>163</v>
      </c>
      <c r="F135" s="4" t="s">
        <v>28</v>
      </c>
      <c r="G135" s="4" t="s">
        <v>178</v>
      </c>
      <c r="H135" s="4" t="s">
        <v>20</v>
      </c>
      <c r="I135" s="4" t="s">
        <v>21</v>
      </c>
      <c r="J135" s="4" t="s">
        <v>44</v>
      </c>
      <c r="K135" s="4" t="s">
        <v>137</v>
      </c>
      <c r="L135" s="4" t="s">
        <v>74</v>
      </c>
      <c r="M135" s="4" t="s">
        <v>205</v>
      </c>
      <c r="N135" s="4" t="s">
        <v>18</v>
      </c>
      <c r="O135" s="4">
        <v>0.33</v>
      </c>
      <c r="P135" s="4">
        <v>12</v>
      </c>
      <c r="Q135" s="4">
        <v>12</v>
      </c>
      <c r="R135" s="4" t="s">
        <v>324</v>
      </c>
      <c r="S135" s="4" t="s">
        <v>458</v>
      </c>
      <c r="T135" s="4" t="s">
        <v>552</v>
      </c>
      <c r="V135" s="4">
        <v>800</v>
      </c>
      <c r="W135" s="4">
        <v>0.51200000000000001</v>
      </c>
    </row>
    <row r="136" spans="1:23" ht="14.5" customHeight="1" x14ac:dyDescent="0.3">
      <c r="A136" s="4" t="s">
        <v>348</v>
      </c>
      <c r="B136" s="4" t="s">
        <v>283</v>
      </c>
      <c r="C136" s="4">
        <v>2016</v>
      </c>
      <c r="D136" s="4" t="s">
        <v>200</v>
      </c>
      <c r="E136" s="4" t="s">
        <v>163</v>
      </c>
      <c r="F136" s="4" t="s">
        <v>42</v>
      </c>
      <c r="G136" s="4" t="s">
        <v>19</v>
      </c>
      <c r="H136" s="4" t="s">
        <v>30</v>
      </c>
      <c r="I136" s="4" t="s">
        <v>32</v>
      </c>
      <c r="J136" s="4" t="s">
        <v>44</v>
      </c>
      <c r="K136" s="4" t="s">
        <v>25</v>
      </c>
      <c r="L136" s="4" t="s">
        <v>31</v>
      </c>
      <c r="M136" s="4" t="s">
        <v>284</v>
      </c>
      <c r="N136" s="4" t="s">
        <v>41</v>
      </c>
      <c r="O136" s="4">
        <v>0.22775000000000001</v>
      </c>
      <c r="P136" s="4">
        <v>12</v>
      </c>
      <c r="Q136" s="4">
        <v>12</v>
      </c>
      <c r="R136" s="4" t="s">
        <v>349</v>
      </c>
      <c r="T136" s="4" t="s">
        <v>552</v>
      </c>
      <c r="V136" s="4">
        <v>1900</v>
      </c>
      <c r="W136" s="4">
        <v>0.51200000000000001</v>
      </c>
    </row>
    <row r="137" spans="1:23" ht="14.5" customHeight="1" x14ac:dyDescent="0.3">
      <c r="A137" s="4" t="s">
        <v>217</v>
      </c>
      <c r="B137" s="4" t="s">
        <v>525</v>
      </c>
      <c r="C137" s="4">
        <v>2009</v>
      </c>
      <c r="D137" s="4" t="s">
        <v>200</v>
      </c>
      <c r="E137" s="4" t="s">
        <v>162</v>
      </c>
      <c r="F137" s="4" t="s">
        <v>171</v>
      </c>
      <c r="G137" s="4" t="s">
        <v>178</v>
      </c>
      <c r="H137" s="4" t="s">
        <v>30</v>
      </c>
      <c r="I137" s="4" t="s">
        <v>32</v>
      </c>
      <c r="J137" s="4" t="s">
        <v>572</v>
      </c>
      <c r="K137" s="4" t="s">
        <v>25</v>
      </c>
      <c r="L137" s="4" t="s">
        <v>22</v>
      </c>
      <c r="M137" s="4" t="s">
        <v>17</v>
      </c>
      <c r="N137" s="4" t="s">
        <v>18</v>
      </c>
      <c r="O137" s="4">
        <v>0.21</v>
      </c>
      <c r="P137" s="4">
        <v>32</v>
      </c>
      <c r="Q137" s="4">
        <v>32</v>
      </c>
      <c r="R137" s="4" t="s">
        <v>526</v>
      </c>
      <c r="S137" s="4" t="s">
        <v>551</v>
      </c>
      <c r="T137" s="4" t="s">
        <v>551</v>
      </c>
      <c r="V137" s="4">
        <v>1900</v>
      </c>
      <c r="W137" s="4">
        <v>0.51200000000000001</v>
      </c>
    </row>
    <row r="138" spans="1:23" ht="14.5" customHeight="1" x14ac:dyDescent="0.3"/>
    <row r="139" spans="1:23" ht="14.5" customHeight="1" x14ac:dyDescent="0.3">
      <c r="A139" s="4" t="s">
        <v>337</v>
      </c>
      <c r="B139" s="4" t="s">
        <v>272</v>
      </c>
      <c r="C139" s="4">
        <v>2018</v>
      </c>
      <c r="D139" s="4" t="s">
        <v>200</v>
      </c>
      <c r="E139" s="4" t="s">
        <v>163</v>
      </c>
      <c r="F139" s="4" t="s">
        <v>171</v>
      </c>
      <c r="G139" s="4" t="s">
        <v>67</v>
      </c>
      <c r="H139" s="4" t="s">
        <v>68</v>
      </c>
      <c r="I139" s="4" t="s">
        <v>21</v>
      </c>
      <c r="J139" s="4" t="s">
        <v>44</v>
      </c>
      <c r="K139" s="4" t="s">
        <v>137</v>
      </c>
      <c r="L139" s="4" t="s">
        <v>59</v>
      </c>
      <c r="M139" s="4" t="s">
        <v>259</v>
      </c>
      <c r="N139" s="4" t="s">
        <v>41</v>
      </c>
      <c r="O139" s="4">
        <v>0.18453</v>
      </c>
      <c r="P139" s="4">
        <v>9</v>
      </c>
      <c r="Q139" s="4">
        <v>1</v>
      </c>
      <c r="R139" s="4" t="s">
        <v>340</v>
      </c>
      <c r="T139" s="4" t="s">
        <v>551</v>
      </c>
      <c r="V139" s="4">
        <v>1760</v>
      </c>
      <c r="W139" s="4">
        <v>0.44373499999999999</v>
      </c>
    </row>
    <row r="140" spans="1:23" ht="14.5" customHeight="1" x14ac:dyDescent="0.3">
      <c r="A140" s="4" t="s">
        <v>271</v>
      </c>
      <c r="B140" s="4" t="s">
        <v>270</v>
      </c>
      <c r="C140" s="4">
        <v>2013</v>
      </c>
      <c r="D140" s="4" t="s">
        <v>200</v>
      </c>
      <c r="E140" s="4" t="s">
        <v>162</v>
      </c>
      <c r="F140" s="4" t="s">
        <v>47</v>
      </c>
      <c r="G140" s="4" t="s">
        <v>67</v>
      </c>
      <c r="H140" s="4" t="s">
        <v>58</v>
      </c>
      <c r="I140" s="4" t="s">
        <v>32</v>
      </c>
      <c r="J140" s="4" t="s">
        <v>44</v>
      </c>
      <c r="K140" s="4" t="s">
        <v>25</v>
      </c>
      <c r="L140" s="4" t="s">
        <v>74</v>
      </c>
      <c r="M140" s="4" t="s">
        <v>262</v>
      </c>
      <c r="N140" s="4" t="s">
        <v>18</v>
      </c>
      <c r="O140" s="4">
        <v>0.14879999999999999</v>
      </c>
      <c r="P140" s="4">
        <v>5</v>
      </c>
      <c r="Q140" s="4">
        <v>5</v>
      </c>
      <c r="R140" s="4" t="s">
        <v>339</v>
      </c>
      <c r="S140" s="4" t="s">
        <v>460</v>
      </c>
      <c r="T140" s="4" t="s">
        <v>551</v>
      </c>
      <c r="V140" s="4">
        <v>2010</v>
      </c>
      <c r="W140" s="4">
        <v>0.44373499999999999</v>
      </c>
    </row>
    <row r="141" spans="1:23" ht="14.5" customHeight="1" x14ac:dyDescent="0.3">
      <c r="A141" s="4" t="s">
        <v>335</v>
      </c>
      <c r="B141" s="4" t="s">
        <v>264</v>
      </c>
      <c r="C141" s="4">
        <v>2014</v>
      </c>
      <c r="D141" s="4" t="s">
        <v>66</v>
      </c>
      <c r="E141" s="4" t="s">
        <v>573</v>
      </c>
      <c r="F141" s="4" t="s">
        <v>28</v>
      </c>
      <c r="G141" s="4" t="s">
        <v>19</v>
      </c>
      <c r="H141" s="4" t="s">
        <v>30</v>
      </c>
      <c r="I141" s="4" t="s">
        <v>32</v>
      </c>
      <c r="J141" s="4" t="s">
        <v>44</v>
      </c>
      <c r="K141" s="4" t="s">
        <v>25</v>
      </c>
      <c r="L141" s="4" t="s">
        <v>74</v>
      </c>
      <c r="M141" s="4" t="s">
        <v>205</v>
      </c>
      <c r="N141" s="4" t="s">
        <v>18</v>
      </c>
      <c r="O141" s="4">
        <v>2.0954999999999999</v>
      </c>
      <c r="P141" s="4">
        <v>12</v>
      </c>
      <c r="Q141" s="4">
        <v>24</v>
      </c>
      <c r="R141" s="4" t="s">
        <v>336</v>
      </c>
      <c r="S141" s="4" t="s">
        <v>388</v>
      </c>
      <c r="T141" s="4" t="s">
        <v>551</v>
      </c>
      <c r="V141" s="4">
        <v>1900</v>
      </c>
      <c r="W141" s="4">
        <v>0.92586123077810556</v>
      </c>
    </row>
    <row r="142" spans="1:23" ht="14.5" customHeight="1" x14ac:dyDescent="0.3">
      <c r="A142" s="4" t="s">
        <v>326</v>
      </c>
      <c r="B142" s="4" t="s">
        <v>247</v>
      </c>
      <c r="C142" s="4">
        <v>2016</v>
      </c>
      <c r="D142" s="4" t="s">
        <v>66</v>
      </c>
      <c r="E142" s="4" t="s">
        <v>573</v>
      </c>
      <c r="F142" s="4" t="s">
        <v>171</v>
      </c>
      <c r="G142" s="4" t="s">
        <v>67</v>
      </c>
      <c r="H142" s="4" t="s">
        <v>100</v>
      </c>
      <c r="I142" s="4" t="s">
        <v>21</v>
      </c>
      <c r="J142" s="4" t="s">
        <v>44</v>
      </c>
      <c r="K142" s="4" t="s">
        <v>33</v>
      </c>
      <c r="L142" s="4" t="s">
        <v>31</v>
      </c>
      <c r="M142" s="4" t="s">
        <v>205</v>
      </c>
      <c r="N142" s="4" t="s">
        <v>18</v>
      </c>
      <c r="O142" s="4">
        <v>1.7789999999999999</v>
      </c>
      <c r="P142" s="4">
        <v>12</v>
      </c>
      <c r="Q142" s="4">
        <v>12</v>
      </c>
      <c r="R142" s="4" t="s">
        <v>327</v>
      </c>
      <c r="S142" s="4" t="s">
        <v>387</v>
      </c>
      <c r="T142" s="4" t="s">
        <v>551</v>
      </c>
      <c r="V142" s="4">
        <v>1080</v>
      </c>
      <c r="W142" s="4">
        <v>0.92586123077810556</v>
      </c>
    </row>
    <row r="143" spans="1:23" ht="14.5" customHeight="1" x14ac:dyDescent="0.3">
      <c r="A143" s="4" t="s">
        <v>72</v>
      </c>
      <c r="B143" s="4" t="s">
        <v>73</v>
      </c>
      <c r="C143" s="4">
        <v>2018</v>
      </c>
      <c r="D143" s="4" t="s">
        <v>66</v>
      </c>
      <c r="E143" s="4" t="s">
        <v>573</v>
      </c>
      <c r="F143" s="4" t="s">
        <v>28</v>
      </c>
      <c r="G143" s="4" t="s">
        <v>298</v>
      </c>
      <c r="H143" s="4" t="s">
        <v>68</v>
      </c>
      <c r="I143" s="4" t="s">
        <v>21</v>
      </c>
      <c r="J143" s="4" t="s">
        <v>31</v>
      </c>
      <c r="K143" s="4" t="s">
        <v>25</v>
      </c>
      <c r="L143" s="4" t="s">
        <v>74</v>
      </c>
      <c r="M143" s="4" t="s">
        <v>17</v>
      </c>
      <c r="N143" s="4" t="s">
        <v>18</v>
      </c>
      <c r="O143" s="4">
        <v>1.33</v>
      </c>
      <c r="P143" s="4">
        <v>4</v>
      </c>
      <c r="Q143" s="4">
        <v>4</v>
      </c>
      <c r="R143" s="4" t="s">
        <v>361</v>
      </c>
      <c r="S143" s="4" t="s">
        <v>396</v>
      </c>
      <c r="T143" s="4" t="s">
        <v>552</v>
      </c>
      <c r="V143" s="4">
        <v>1760</v>
      </c>
      <c r="W143" s="4">
        <v>0.92586123077810556</v>
      </c>
    </row>
    <row r="144" spans="1:23" ht="14.5" customHeight="1" x14ac:dyDescent="0.3">
      <c r="A144" s="4" t="s">
        <v>81</v>
      </c>
      <c r="B144" s="4" t="s">
        <v>82</v>
      </c>
      <c r="C144" s="4">
        <v>2018</v>
      </c>
      <c r="D144" s="4" t="s">
        <v>66</v>
      </c>
      <c r="E144" s="4" t="s">
        <v>573</v>
      </c>
      <c r="F144" s="4" t="s">
        <v>28</v>
      </c>
      <c r="G144" s="4" t="s">
        <v>83</v>
      </c>
      <c r="H144" s="4" t="s">
        <v>84</v>
      </c>
      <c r="I144" s="4" t="s">
        <v>21</v>
      </c>
      <c r="J144" s="4" t="s">
        <v>44</v>
      </c>
      <c r="K144" s="4" t="s">
        <v>22</v>
      </c>
      <c r="L144" s="4" t="s">
        <v>31</v>
      </c>
      <c r="M144" s="4" t="s">
        <v>90</v>
      </c>
      <c r="N144" s="4" t="s">
        <v>18</v>
      </c>
      <c r="O144" s="4">
        <v>0.97742246155621126</v>
      </c>
      <c r="P144" s="4">
        <v>24</v>
      </c>
      <c r="Q144" s="4">
        <v>24</v>
      </c>
      <c r="R144" s="4" t="s">
        <v>367</v>
      </c>
      <c r="S144" s="4" t="s">
        <v>398</v>
      </c>
      <c r="T144" s="4" t="s">
        <v>551</v>
      </c>
      <c r="V144" s="4">
        <v>3580</v>
      </c>
      <c r="W144" s="4">
        <v>0.92586123077810556</v>
      </c>
    </row>
    <row r="145" spans="1:23" ht="14.5" customHeight="1" x14ac:dyDescent="0.3">
      <c r="A145" s="4" t="s">
        <v>335</v>
      </c>
      <c r="B145" s="4" t="s">
        <v>264</v>
      </c>
      <c r="C145" s="4">
        <v>2014</v>
      </c>
      <c r="D145" s="4" t="s">
        <v>66</v>
      </c>
      <c r="E145" s="4" t="s">
        <v>573</v>
      </c>
      <c r="F145" s="4" t="s">
        <v>28</v>
      </c>
      <c r="G145" s="4" t="s">
        <v>19</v>
      </c>
      <c r="H145" s="4" t="s">
        <v>30</v>
      </c>
      <c r="I145" s="4" t="s">
        <v>32</v>
      </c>
      <c r="J145" s="4" t="s">
        <v>44</v>
      </c>
      <c r="K145" s="4" t="s">
        <v>25</v>
      </c>
      <c r="L145" s="4" t="s">
        <v>74</v>
      </c>
      <c r="M145" s="4" t="s">
        <v>205</v>
      </c>
      <c r="N145" s="4" t="s">
        <v>18</v>
      </c>
      <c r="O145" s="4">
        <v>0.87429999999999997</v>
      </c>
      <c r="P145" s="4">
        <v>12</v>
      </c>
      <c r="Q145" s="4">
        <v>24</v>
      </c>
      <c r="R145" s="4" t="s">
        <v>336</v>
      </c>
      <c r="S145" s="4" t="s">
        <v>389</v>
      </c>
      <c r="T145" s="4" t="s">
        <v>551</v>
      </c>
      <c r="V145" s="4">
        <v>1900</v>
      </c>
      <c r="W145" s="4">
        <v>0.92586123077810556</v>
      </c>
    </row>
    <row r="146" spans="1:23" ht="14.5" customHeight="1" x14ac:dyDescent="0.3">
      <c r="A146" s="4" t="s">
        <v>72</v>
      </c>
      <c r="B146" s="4" t="s">
        <v>73</v>
      </c>
      <c r="C146" s="4">
        <v>2018</v>
      </c>
      <c r="D146" s="4" t="s">
        <v>66</v>
      </c>
      <c r="E146" s="4" t="s">
        <v>573</v>
      </c>
      <c r="F146" s="4" t="s">
        <v>28</v>
      </c>
      <c r="G146" s="4" t="s">
        <v>299</v>
      </c>
      <c r="H146" s="4" t="s">
        <v>68</v>
      </c>
      <c r="I146" s="4" t="s">
        <v>21</v>
      </c>
      <c r="J146" s="4" t="s">
        <v>31</v>
      </c>
      <c r="K146" s="4" t="s">
        <v>25</v>
      </c>
      <c r="L146" s="4" t="s">
        <v>74</v>
      </c>
      <c r="M146" s="4" t="s">
        <v>17</v>
      </c>
      <c r="N146" s="4" t="s">
        <v>18</v>
      </c>
      <c r="O146" s="4">
        <v>0.78</v>
      </c>
      <c r="P146" s="4">
        <v>4</v>
      </c>
      <c r="Q146" s="4">
        <v>4</v>
      </c>
      <c r="R146" s="4" t="s">
        <v>361</v>
      </c>
      <c r="S146" s="4" t="s">
        <v>396</v>
      </c>
      <c r="T146" s="4" t="s">
        <v>552</v>
      </c>
      <c r="V146" s="4">
        <v>1760</v>
      </c>
      <c r="W146" s="4">
        <v>0.92586123077810556</v>
      </c>
    </row>
    <row r="147" spans="1:23" ht="14.5" customHeight="1" x14ac:dyDescent="0.3">
      <c r="A147" s="4" t="s">
        <v>72</v>
      </c>
      <c r="B147" s="4" t="s">
        <v>73</v>
      </c>
      <c r="C147" s="4">
        <v>2018</v>
      </c>
      <c r="D147" s="4" t="s">
        <v>66</v>
      </c>
      <c r="E147" s="4" t="s">
        <v>573</v>
      </c>
      <c r="F147" s="4" t="s">
        <v>28</v>
      </c>
      <c r="G147" s="4" t="s">
        <v>298</v>
      </c>
      <c r="H147" s="4" t="s">
        <v>68</v>
      </c>
      <c r="I147" s="4" t="s">
        <v>21</v>
      </c>
      <c r="J147" s="4" t="s">
        <v>31</v>
      </c>
      <c r="K147" s="4" t="s">
        <v>25</v>
      </c>
      <c r="L147" s="4" t="s">
        <v>74</v>
      </c>
      <c r="M147" s="4" t="s">
        <v>17</v>
      </c>
      <c r="N147" s="4" t="s">
        <v>18</v>
      </c>
      <c r="O147" s="4">
        <v>0.68</v>
      </c>
      <c r="P147" s="4">
        <v>4</v>
      </c>
      <c r="Q147" s="4">
        <v>4</v>
      </c>
      <c r="R147" s="4" t="s">
        <v>361</v>
      </c>
      <c r="S147" s="4" t="s">
        <v>395</v>
      </c>
      <c r="T147" s="4" t="s">
        <v>552</v>
      </c>
      <c r="V147" s="4">
        <v>1760</v>
      </c>
      <c r="W147" s="4">
        <v>0.92586123077810556</v>
      </c>
    </row>
    <row r="148" spans="1:23" ht="14.5" customHeight="1" x14ac:dyDescent="0.3">
      <c r="A148" s="4" t="s">
        <v>72</v>
      </c>
      <c r="B148" s="4" t="s">
        <v>73</v>
      </c>
      <c r="C148" s="4">
        <v>2018</v>
      </c>
      <c r="D148" s="4" t="s">
        <v>66</v>
      </c>
      <c r="E148" s="4" t="s">
        <v>573</v>
      </c>
      <c r="F148" s="4" t="s">
        <v>28</v>
      </c>
      <c r="G148" s="4" t="s">
        <v>298</v>
      </c>
      <c r="H148" s="4" t="s">
        <v>68</v>
      </c>
      <c r="I148" s="4" t="s">
        <v>21</v>
      </c>
      <c r="J148" s="4" t="s">
        <v>31</v>
      </c>
      <c r="K148" s="4" t="s">
        <v>25</v>
      </c>
      <c r="L148" s="4" t="s">
        <v>74</v>
      </c>
      <c r="M148" s="4" t="s">
        <v>17</v>
      </c>
      <c r="N148" s="4" t="s">
        <v>18</v>
      </c>
      <c r="O148" s="4">
        <v>0.63</v>
      </c>
      <c r="P148" s="4">
        <v>4</v>
      </c>
      <c r="Q148" s="4">
        <v>4</v>
      </c>
      <c r="R148" s="4" t="s">
        <v>361</v>
      </c>
      <c r="S148" s="4" t="s">
        <v>394</v>
      </c>
      <c r="T148" s="4" t="s">
        <v>552</v>
      </c>
      <c r="V148" s="4">
        <v>1760</v>
      </c>
      <c r="W148" s="4">
        <v>0.92586123077810556</v>
      </c>
    </row>
    <row r="149" spans="1:23" ht="14.5" customHeight="1" x14ac:dyDescent="0.3">
      <c r="A149" s="4" t="s">
        <v>72</v>
      </c>
      <c r="B149" s="4" t="s">
        <v>73</v>
      </c>
      <c r="C149" s="4">
        <v>2018</v>
      </c>
      <c r="D149" s="4" t="s">
        <v>66</v>
      </c>
      <c r="E149" s="4" t="s">
        <v>573</v>
      </c>
      <c r="F149" s="4" t="s">
        <v>28</v>
      </c>
      <c r="G149" s="4" t="s">
        <v>299</v>
      </c>
      <c r="H149" s="4" t="s">
        <v>68</v>
      </c>
      <c r="I149" s="4" t="s">
        <v>21</v>
      </c>
      <c r="J149" s="4" t="s">
        <v>31</v>
      </c>
      <c r="K149" s="4" t="s">
        <v>25</v>
      </c>
      <c r="L149" s="4" t="s">
        <v>74</v>
      </c>
      <c r="M149" s="4" t="s">
        <v>17</v>
      </c>
      <c r="N149" s="4" t="s">
        <v>18</v>
      </c>
      <c r="O149" s="4">
        <v>0.48</v>
      </c>
      <c r="P149" s="4">
        <v>4</v>
      </c>
      <c r="Q149" s="4">
        <v>4</v>
      </c>
      <c r="R149" s="4" t="s">
        <v>361</v>
      </c>
      <c r="S149" s="4" t="s">
        <v>395</v>
      </c>
      <c r="T149" s="4" t="s">
        <v>552</v>
      </c>
      <c r="V149" s="4">
        <v>1760</v>
      </c>
      <c r="W149" s="4">
        <v>0.92586123077810556</v>
      </c>
    </row>
    <row r="150" spans="1:23" ht="14.5" customHeight="1" x14ac:dyDescent="0.3">
      <c r="A150" s="4" t="s">
        <v>72</v>
      </c>
      <c r="B150" s="4" t="s">
        <v>73</v>
      </c>
      <c r="C150" s="4">
        <v>2018</v>
      </c>
      <c r="D150" s="4" t="s">
        <v>66</v>
      </c>
      <c r="E150" s="4" t="s">
        <v>573</v>
      </c>
      <c r="F150" s="4" t="s">
        <v>28</v>
      </c>
      <c r="G150" s="4" t="s">
        <v>299</v>
      </c>
      <c r="H150" s="4" t="s">
        <v>68</v>
      </c>
      <c r="I150" s="4" t="s">
        <v>21</v>
      </c>
      <c r="J150" s="4" t="s">
        <v>31</v>
      </c>
      <c r="K150" s="4" t="s">
        <v>25</v>
      </c>
      <c r="L150" s="4" t="s">
        <v>74</v>
      </c>
      <c r="M150" s="4" t="s">
        <v>17</v>
      </c>
      <c r="N150" s="4" t="s">
        <v>18</v>
      </c>
      <c r="O150" s="4">
        <v>0.4</v>
      </c>
      <c r="P150" s="4">
        <v>4</v>
      </c>
      <c r="Q150" s="4">
        <v>4</v>
      </c>
      <c r="R150" s="4" t="s">
        <v>361</v>
      </c>
      <c r="S150" s="4" t="s">
        <v>394</v>
      </c>
      <c r="T150" s="4" t="s">
        <v>552</v>
      </c>
      <c r="V150" s="4">
        <v>1760</v>
      </c>
      <c r="W150" s="4">
        <v>0.92586123077810556</v>
      </c>
    </row>
    <row r="151" spans="1:23" ht="14.5" customHeight="1" x14ac:dyDescent="0.3">
      <c r="A151" s="4" t="s">
        <v>352</v>
      </c>
      <c r="B151" s="4" t="s">
        <v>289</v>
      </c>
      <c r="C151" s="4">
        <v>2012</v>
      </c>
      <c r="D151" s="4" t="s">
        <v>66</v>
      </c>
      <c r="E151" s="4" t="s">
        <v>573</v>
      </c>
      <c r="F151" s="4" t="s">
        <v>47</v>
      </c>
      <c r="G151" s="4" t="s">
        <v>67</v>
      </c>
      <c r="H151" s="4" t="s">
        <v>30</v>
      </c>
      <c r="I151" s="4" t="s">
        <v>32</v>
      </c>
      <c r="J151" s="4" t="s">
        <v>31</v>
      </c>
      <c r="K151" s="4" t="s">
        <v>22</v>
      </c>
      <c r="L151" s="4" t="s">
        <v>59</v>
      </c>
      <c r="M151" s="4" t="s">
        <v>205</v>
      </c>
      <c r="N151" s="4" t="s">
        <v>18</v>
      </c>
      <c r="O151" s="4">
        <v>0.11606</v>
      </c>
      <c r="P151" s="4">
        <v>1</v>
      </c>
      <c r="Q151" s="4">
        <v>1</v>
      </c>
      <c r="R151" s="4" t="s">
        <v>354</v>
      </c>
      <c r="S151" s="4" t="s">
        <v>391</v>
      </c>
      <c r="T151" s="4" t="s">
        <v>552</v>
      </c>
      <c r="V151" s="4">
        <v>1900</v>
      </c>
      <c r="W151" s="4">
        <v>0.92586123077810556</v>
      </c>
    </row>
    <row r="152" spans="1:23" ht="14.5" customHeight="1" x14ac:dyDescent="0.3">
      <c r="A152" s="4" t="s">
        <v>78</v>
      </c>
      <c r="B152" s="4" t="s">
        <v>79</v>
      </c>
      <c r="C152" s="4">
        <v>2014</v>
      </c>
      <c r="D152" s="4" t="s">
        <v>66</v>
      </c>
      <c r="E152" s="4" t="s">
        <v>573</v>
      </c>
      <c r="F152" s="4" t="s">
        <v>171</v>
      </c>
      <c r="G152" s="4" t="s">
        <v>67</v>
      </c>
      <c r="H152" s="4" t="s">
        <v>80</v>
      </c>
      <c r="I152" s="4" t="s">
        <v>32</v>
      </c>
      <c r="J152" s="4" t="s">
        <v>24</v>
      </c>
      <c r="K152" s="4" t="s">
        <v>25</v>
      </c>
      <c r="L152" s="4" t="s">
        <v>31</v>
      </c>
      <c r="M152" s="4" t="s">
        <v>301</v>
      </c>
      <c r="N152" s="4" t="s">
        <v>18</v>
      </c>
      <c r="O152" s="4">
        <v>3.3499519053513893E-2</v>
      </c>
      <c r="P152" s="4">
        <v>12</v>
      </c>
      <c r="Q152" s="4">
        <v>1</v>
      </c>
      <c r="R152" s="4" t="s">
        <v>366</v>
      </c>
      <c r="S152" s="4" t="s">
        <v>397</v>
      </c>
      <c r="T152" s="4" t="s">
        <v>552</v>
      </c>
      <c r="V152" s="4">
        <v>10580</v>
      </c>
      <c r="W152" s="4">
        <v>0.92586123077810556</v>
      </c>
    </row>
    <row r="153" spans="1:23" ht="14.5" customHeight="1" x14ac:dyDescent="0.3">
      <c r="A153" s="4" t="s">
        <v>166</v>
      </c>
      <c r="B153" s="4" t="s">
        <v>167</v>
      </c>
      <c r="C153" s="4">
        <v>2016</v>
      </c>
      <c r="D153" s="4" t="s">
        <v>87</v>
      </c>
      <c r="E153" s="4" t="s">
        <v>88</v>
      </c>
      <c r="F153" s="4" t="s">
        <v>53</v>
      </c>
      <c r="G153" s="4" t="s">
        <v>83</v>
      </c>
      <c r="H153" s="4" t="s">
        <v>100</v>
      </c>
      <c r="I153" s="4" t="s">
        <v>21</v>
      </c>
      <c r="J153" s="4" t="s">
        <v>38</v>
      </c>
      <c r="K153" s="4" t="s">
        <v>25</v>
      </c>
      <c r="L153" s="4" t="s">
        <v>74</v>
      </c>
      <c r="M153" s="4" t="s">
        <v>168</v>
      </c>
      <c r="N153" s="4" t="s">
        <v>18</v>
      </c>
      <c r="O153" s="4">
        <v>136.69</v>
      </c>
      <c r="P153" s="4">
        <v>12</v>
      </c>
      <c r="Q153" s="4">
        <v>6</v>
      </c>
      <c r="R153" s="4" t="s">
        <v>304</v>
      </c>
      <c r="S153" s="4" t="s">
        <v>379</v>
      </c>
      <c r="T153" s="4" t="s">
        <v>551</v>
      </c>
      <c r="V153" s="4">
        <v>1080</v>
      </c>
      <c r="W153" s="4">
        <v>125.72912541159806</v>
      </c>
    </row>
    <row r="154" spans="1:23" ht="14.5" customHeight="1" x14ac:dyDescent="0.3">
      <c r="A154" s="4" t="s">
        <v>188</v>
      </c>
      <c r="B154" s="4" t="s">
        <v>189</v>
      </c>
      <c r="C154" s="4">
        <v>2012</v>
      </c>
      <c r="D154" s="4" t="s">
        <v>87</v>
      </c>
      <c r="E154" s="4" t="s">
        <v>88</v>
      </c>
      <c r="F154" s="4" t="s">
        <v>28</v>
      </c>
      <c r="G154" s="4" t="s">
        <v>121</v>
      </c>
      <c r="H154" s="4" t="s">
        <v>190</v>
      </c>
      <c r="I154" s="4" t="s">
        <v>21</v>
      </c>
      <c r="J154" s="4" t="s">
        <v>22</v>
      </c>
      <c r="K154" s="4" t="s">
        <v>137</v>
      </c>
      <c r="L154" s="4" t="s">
        <v>31</v>
      </c>
      <c r="M154" s="4" t="s">
        <v>191</v>
      </c>
      <c r="N154" s="4" t="s">
        <v>18</v>
      </c>
      <c r="O154" s="4">
        <v>525.05999999999995</v>
      </c>
      <c r="P154" s="4">
        <v>12</v>
      </c>
      <c r="Q154" s="4">
        <v>9</v>
      </c>
      <c r="R154" s="4" t="s">
        <v>308</v>
      </c>
      <c r="S154" s="4" t="s">
        <v>377</v>
      </c>
      <c r="T154" s="4" t="s">
        <v>551</v>
      </c>
      <c r="V154" s="4">
        <v>1190</v>
      </c>
      <c r="W154" s="4">
        <v>125.72912541159806</v>
      </c>
    </row>
    <row r="155" spans="1:23" ht="14.5" customHeight="1" x14ac:dyDescent="0.3">
      <c r="A155" s="4" t="s">
        <v>192</v>
      </c>
      <c r="B155" s="4" t="s">
        <v>193</v>
      </c>
      <c r="C155" s="4">
        <v>2013</v>
      </c>
      <c r="D155" s="4" t="s">
        <v>87</v>
      </c>
      <c r="E155" s="4" t="s">
        <v>88</v>
      </c>
      <c r="F155" s="4" t="s">
        <v>28</v>
      </c>
      <c r="G155" s="4" t="s">
        <v>19</v>
      </c>
      <c r="H155" s="4" t="s">
        <v>20</v>
      </c>
      <c r="I155" s="4" t="s">
        <v>21</v>
      </c>
      <c r="J155" s="4" t="s">
        <v>31</v>
      </c>
      <c r="K155" s="4" t="s">
        <v>22</v>
      </c>
      <c r="L155" s="4" t="s">
        <v>59</v>
      </c>
      <c r="M155" s="4" t="s">
        <v>191</v>
      </c>
      <c r="N155" s="4" t="s">
        <v>18</v>
      </c>
      <c r="O155" s="4">
        <v>111.9</v>
      </c>
      <c r="P155" s="4">
        <v>12</v>
      </c>
      <c r="Q155" s="4">
        <v>27</v>
      </c>
      <c r="R155" s="4" t="s">
        <v>309</v>
      </c>
      <c r="S155" s="4" t="s">
        <v>378</v>
      </c>
      <c r="T155" s="4" t="s">
        <v>552</v>
      </c>
      <c r="V155" s="4">
        <v>800</v>
      </c>
      <c r="W155" s="4">
        <v>125.72912541159806</v>
      </c>
    </row>
    <row r="156" spans="1:23" ht="14.5" customHeight="1" x14ac:dyDescent="0.3">
      <c r="A156" s="4" t="s">
        <v>319</v>
      </c>
      <c r="B156" s="4" t="s">
        <v>225</v>
      </c>
      <c r="C156" s="4">
        <v>2000</v>
      </c>
      <c r="D156" s="4" t="s">
        <v>87</v>
      </c>
      <c r="E156" s="4" t="s">
        <v>88</v>
      </c>
      <c r="F156" s="4" t="s">
        <v>171</v>
      </c>
      <c r="G156" s="4" t="s">
        <v>67</v>
      </c>
      <c r="H156" s="4" t="s">
        <v>100</v>
      </c>
      <c r="I156" s="4" t="s">
        <v>21</v>
      </c>
      <c r="J156" s="4" t="s">
        <v>44</v>
      </c>
      <c r="K156" s="4" t="s">
        <v>25</v>
      </c>
      <c r="L156" s="4" t="s">
        <v>31</v>
      </c>
      <c r="M156" s="4" t="s">
        <v>191</v>
      </c>
      <c r="N156" s="4" t="s">
        <v>18</v>
      </c>
      <c r="O156" s="4">
        <v>496.16</v>
      </c>
      <c r="P156" s="4">
        <v>12</v>
      </c>
      <c r="Q156" s="4">
        <v>12</v>
      </c>
      <c r="R156" s="4" t="s">
        <v>369</v>
      </c>
      <c r="S156" s="4" t="s">
        <v>380</v>
      </c>
      <c r="T156" s="4" t="s">
        <v>553</v>
      </c>
      <c r="V156" s="4">
        <v>1080</v>
      </c>
      <c r="W156" s="4">
        <v>125.72912541159806</v>
      </c>
    </row>
    <row r="157" spans="1:23" ht="14.5" customHeight="1" x14ac:dyDescent="0.3">
      <c r="A157" s="4" t="s">
        <v>319</v>
      </c>
      <c r="B157" s="4" t="s">
        <v>225</v>
      </c>
      <c r="C157" s="4">
        <v>2000</v>
      </c>
      <c r="D157" s="4" t="s">
        <v>87</v>
      </c>
      <c r="E157" s="4" t="s">
        <v>88</v>
      </c>
      <c r="F157" s="4" t="s">
        <v>171</v>
      </c>
      <c r="G157" s="4" t="s">
        <v>67</v>
      </c>
      <c r="H157" s="4" t="s">
        <v>100</v>
      </c>
      <c r="I157" s="4" t="s">
        <v>21</v>
      </c>
      <c r="J157" s="4" t="s">
        <v>38</v>
      </c>
      <c r="K157" s="4" t="s">
        <v>25</v>
      </c>
      <c r="L157" s="4" t="s">
        <v>59</v>
      </c>
      <c r="M157" s="4" t="s">
        <v>191</v>
      </c>
      <c r="N157" s="4" t="s">
        <v>18</v>
      </c>
      <c r="O157" s="4">
        <v>124.67</v>
      </c>
      <c r="P157" s="4">
        <v>12</v>
      </c>
      <c r="Q157" s="4">
        <v>12</v>
      </c>
      <c r="R157" s="4" t="s">
        <v>369</v>
      </c>
      <c r="S157" s="4" t="s">
        <v>381</v>
      </c>
      <c r="T157" s="4" t="s">
        <v>551</v>
      </c>
      <c r="V157" s="4">
        <v>1080</v>
      </c>
      <c r="W157" s="4">
        <v>125.72912541159806</v>
      </c>
    </row>
    <row r="158" spans="1:23" ht="14.5" customHeight="1" x14ac:dyDescent="0.3">
      <c r="A158" s="4" t="s">
        <v>319</v>
      </c>
      <c r="B158" s="4" t="s">
        <v>225</v>
      </c>
      <c r="C158" s="4">
        <v>2000</v>
      </c>
      <c r="D158" s="4" t="s">
        <v>87</v>
      </c>
      <c r="E158" s="4" t="s">
        <v>88</v>
      </c>
      <c r="F158" s="4" t="s">
        <v>171</v>
      </c>
      <c r="G158" s="4" t="s">
        <v>67</v>
      </c>
      <c r="H158" s="4" t="s">
        <v>100</v>
      </c>
      <c r="I158" s="4" t="s">
        <v>21</v>
      </c>
      <c r="J158" s="4" t="s">
        <v>38</v>
      </c>
      <c r="K158" s="4" t="s">
        <v>25</v>
      </c>
      <c r="L158" s="4" t="s">
        <v>74</v>
      </c>
      <c r="M158" s="4" t="s">
        <v>191</v>
      </c>
      <c r="N158" s="4" t="s">
        <v>18</v>
      </c>
      <c r="O158" s="4">
        <v>101.25</v>
      </c>
      <c r="P158" s="4">
        <v>12</v>
      </c>
      <c r="Q158" s="4">
        <v>12</v>
      </c>
      <c r="R158" s="4" t="s">
        <v>369</v>
      </c>
      <c r="S158" s="4" t="s">
        <v>381</v>
      </c>
      <c r="T158" s="4" t="s">
        <v>551</v>
      </c>
      <c r="V158" s="4">
        <v>1080</v>
      </c>
      <c r="W158" s="4">
        <v>125.72912541159806</v>
      </c>
    </row>
    <row r="159" spans="1:23" ht="14.5" customHeight="1" x14ac:dyDescent="0.3">
      <c r="A159" s="4" t="s">
        <v>263</v>
      </c>
      <c r="B159" s="4" t="s">
        <v>258</v>
      </c>
      <c r="C159" s="4">
        <v>2008</v>
      </c>
      <c r="D159" s="4" t="s">
        <v>87</v>
      </c>
      <c r="E159" s="4" t="s">
        <v>88</v>
      </c>
      <c r="F159" s="4" t="s">
        <v>171</v>
      </c>
      <c r="G159" s="4" t="s">
        <v>67</v>
      </c>
      <c r="H159" s="4" t="s">
        <v>68</v>
      </c>
      <c r="I159" s="4" t="s">
        <v>21</v>
      </c>
      <c r="J159" s="4" t="s">
        <v>38</v>
      </c>
      <c r="K159" s="4" t="s">
        <v>25</v>
      </c>
      <c r="L159" s="4" t="s">
        <v>31</v>
      </c>
      <c r="M159" s="4" t="s">
        <v>259</v>
      </c>
      <c r="N159" s="4" t="s">
        <v>18</v>
      </c>
      <c r="O159" s="4">
        <v>2603.4879999999998</v>
      </c>
      <c r="P159" s="4">
        <v>1</v>
      </c>
      <c r="Q159" s="4">
        <v>1</v>
      </c>
      <c r="R159" s="4" t="s">
        <v>334</v>
      </c>
      <c r="S159" s="4" t="s">
        <v>383</v>
      </c>
      <c r="T159" s="4" t="s">
        <v>553</v>
      </c>
      <c r="V159" s="4">
        <v>1760</v>
      </c>
      <c r="W159" s="4">
        <v>125.72912541159806</v>
      </c>
    </row>
    <row r="160" spans="1:23" ht="14.5" customHeight="1" x14ac:dyDescent="0.3">
      <c r="A160" s="4" t="s">
        <v>345</v>
      </c>
      <c r="B160" s="4" t="s">
        <v>281</v>
      </c>
      <c r="C160" s="4">
        <v>2005</v>
      </c>
      <c r="D160" s="4" t="s">
        <v>87</v>
      </c>
      <c r="E160" s="4" t="s">
        <v>88</v>
      </c>
      <c r="F160" s="4" t="s">
        <v>53</v>
      </c>
      <c r="G160" s="4" t="s">
        <v>121</v>
      </c>
      <c r="H160" s="4" t="s">
        <v>100</v>
      </c>
      <c r="I160" s="4" t="s">
        <v>21</v>
      </c>
      <c r="J160" s="4" t="s">
        <v>38</v>
      </c>
      <c r="K160" s="4" t="s">
        <v>25</v>
      </c>
      <c r="L160" s="4" t="s">
        <v>74</v>
      </c>
      <c r="M160" s="4" t="s">
        <v>259</v>
      </c>
      <c r="N160" s="4" t="s">
        <v>41</v>
      </c>
      <c r="O160" s="4">
        <v>811.4049</v>
      </c>
      <c r="P160" s="4">
        <v>36</v>
      </c>
      <c r="Q160" s="4">
        <v>36</v>
      </c>
      <c r="R160" s="4" t="s">
        <v>346</v>
      </c>
      <c r="S160" s="4" t="s">
        <v>385</v>
      </c>
      <c r="T160" s="4" t="s">
        <v>553</v>
      </c>
      <c r="V160" s="4">
        <v>1080</v>
      </c>
      <c r="W160" s="4">
        <v>125.72912541159806</v>
      </c>
    </row>
    <row r="161" spans="1:23" ht="14.5" customHeight="1" x14ac:dyDescent="0.3">
      <c r="A161" s="4" t="s">
        <v>276</v>
      </c>
      <c r="B161" s="4" t="s">
        <v>273</v>
      </c>
      <c r="C161" s="4">
        <v>2012</v>
      </c>
      <c r="D161" s="4" t="s">
        <v>93</v>
      </c>
      <c r="E161" s="4" t="s">
        <v>562</v>
      </c>
      <c r="F161" s="4" t="s">
        <v>47</v>
      </c>
      <c r="G161" s="4" t="s">
        <v>132</v>
      </c>
      <c r="H161" s="4" t="s">
        <v>30</v>
      </c>
      <c r="I161" s="4" t="s">
        <v>32</v>
      </c>
      <c r="J161" s="4" t="s">
        <v>31</v>
      </c>
      <c r="K161" s="4" t="s">
        <v>25</v>
      </c>
      <c r="L161" s="4" t="s">
        <v>31</v>
      </c>
      <c r="M161" s="4" t="s">
        <v>259</v>
      </c>
      <c r="N161" s="4" t="s">
        <v>18</v>
      </c>
      <c r="O161" s="4">
        <v>1.365</v>
      </c>
      <c r="P161" s="4">
        <v>12</v>
      </c>
      <c r="Q161" s="4">
        <v>12</v>
      </c>
      <c r="R161" s="4" t="s">
        <v>341</v>
      </c>
      <c r="S161" s="4" t="s">
        <v>565</v>
      </c>
      <c r="T161" s="4" t="s">
        <v>552</v>
      </c>
      <c r="V161" s="4">
        <v>1900</v>
      </c>
      <c r="W161" s="4">
        <v>6.5667114419095167</v>
      </c>
    </row>
    <row r="162" spans="1:23" ht="14.5" customHeight="1" x14ac:dyDescent="0.3">
      <c r="A162" s="4" t="s">
        <v>176</v>
      </c>
      <c r="B162" s="4" t="s">
        <v>521</v>
      </c>
      <c r="C162" s="4">
        <v>1987</v>
      </c>
      <c r="D162" s="4" t="s">
        <v>93</v>
      </c>
      <c r="E162" s="4" t="s">
        <v>562</v>
      </c>
      <c r="F162" s="4" t="s">
        <v>171</v>
      </c>
      <c r="G162" s="4" t="s">
        <v>178</v>
      </c>
      <c r="H162" s="4" t="s">
        <v>179</v>
      </c>
      <c r="I162" s="4" t="s">
        <v>567</v>
      </c>
      <c r="J162" s="4" t="s">
        <v>566</v>
      </c>
      <c r="K162" s="4" t="s">
        <v>137</v>
      </c>
      <c r="L162" s="4" t="s">
        <v>59</v>
      </c>
      <c r="M162" s="4" t="s">
        <v>17</v>
      </c>
      <c r="N162" s="4" t="s">
        <v>18</v>
      </c>
      <c r="O162" s="4">
        <v>0.78</v>
      </c>
      <c r="P162" s="4">
        <v>12</v>
      </c>
      <c r="Q162" s="4">
        <v>12</v>
      </c>
      <c r="R162" s="4" t="s">
        <v>522</v>
      </c>
      <c r="S162" s="4" t="s">
        <v>552</v>
      </c>
      <c r="T162" s="4" t="s">
        <v>552</v>
      </c>
      <c r="V162" s="4">
        <v>4490</v>
      </c>
      <c r="W162" s="4">
        <v>6.5667114419095167</v>
      </c>
    </row>
    <row r="1048453" spans="15:15" x14ac:dyDescent="0.3">
      <c r="O1048453" s="19"/>
    </row>
  </sheetData>
  <autoFilter ref="A1:V162" xr:uid="{DB40495F-4A58-498C-BF91-CB1BE3E081BD}">
    <sortState xmlns:xlrd2="http://schemas.microsoft.com/office/spreadsheetml/2017/richdata2" ref="A2:V162">
      <sortCondition descending="1" ref="O1:O162"/>
    </sortState>
  </autoFilter>
  <sortState xmlns:xlrd2="http://schemas.microsoft.com/office/spreadsheetml/2017/richdata2" ref="A2:W1048453">
    <sortCondition ref="I2:I1048453"/>
  </sortState>
  <phoneticPr fontId="6" type="noConversion"/>
  <pageMargins left="0.7" right="0.7" top="0.75" bottom="0.75" header="0.3" footer="0.3"/>
  <pageSetup orientation="portrait" horizontalDpi="200" verticalDpi="200"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5C234E-83FF-4703-A70E-8D5588D92D10}">
  <dimension ref="A1:W140"/>
  <sheetViews>
    <sheetView topLeftCell="B1" workbookViewId="0">
      <pane ySplit="1" topLeftCell="A2" activePane="bottomLeft" state="frozen"/>
      <selection pane="bottomLeft" activeCell="H14" sqref="H14"/>
    </sheetView>
  </sheetViews>
  <sheetFormatPr defaultColWidth="17" defaultRowHeight="14.5" x14ac:dyDescent="0.35"/>
  <cols>
    <col min="1" max="1" width="19" customWidth="1"/>
    <col min="2" max="3" width="12" customWidth="1"/>
    <col min="5" max="5" width="7.7265625" customWidth="1"/>
    <col min="6" max="6" width="17" style="20"/>
  </cols>
  <sheetData>
    <row r="1" spans="1:23" s="14" customFormat="1" x14ac:dyDescent="0.35">
      <c r="A1" s="14" t="s">
        <v>575</v>
      </c>
      <c r="B1" s="24" t="s">
        <v>576</v>
      </c>
      <c r="C1" s="24" t="s">
        <v>7</v>
      </c>
      <c r="D1" s="14" t="s">
        <v>824</v>
      </c>
      <c r="E1" s="14" t="s">
        <v>807</v>
      </c>
      <c r="F1" s="25" t="s">
        <v>825</v>
      </c>
      <c r="G1" s="18"/>
      <c r="H1" s="18"/>
      <c r="I1" s="22"/>
      <c r="J1" s="22"/>
      <c r="K1" s="22"/>
      <c r="L1" s="18"/>
      <c r="M1" s="18"/>
      <c r="N1" s="18"/>
      <c r="W1" s="20" t="s">
        <v>840</v>
      </c>
    </row>
    <row r="2" spans="1:23" x14ac:dyDescent="0.35">
      <c r="A2" t="s">
        <v>577</v>
      </c>
      <c r="B2" s="15" t="s">
        <v>578</v>
      </c>
      <c r="C2" s="15" t="s">
        <v>32</v>
      </c>
      <c r="D2">
        <v>500</v>
      </c>
      <c r="E2" t="s">
        <v>812</v>
      </c>
      <c r="F2" s="20">
        <v>2015</v>
      </c>
    </row>
    <row r="3" spans="1:23" x14ac:dyDescent="0.35">
      <c r="A3" t="s">
        <v>579</v>
      </c>
      <c r="B3" s="15" t="s">
        <v>580</v>
      </c>
      <c r="C3" s="15" t="s">
        <v>42</v>
      </c>
      <c r="D3">
        <v>5210</v>
      </c>
      <c r="E3" t="s">
        <v>813</v>
      </c>
      <c r="F3" s="20" t="s">
        <v>828</v>
      </c>
    </row>
    <row r="4" spans="1:23" x14ac:dyDescent="0.35">
      <c r="A4" t="s">
        <v>581</v>
      </c>
      <c r="B4" s="15" t="s">
        <v>582</v>
      </c>
      <c r="C4" s="15" t="s">
        <v>42</v>
      </c>
      <c r="D4">
        <v>3550</v>
      </c>
      <c r="E4" t="s">
        <v>813</v>
      </c>
      <c r="F4" s="20" t="s">
        <v>829</v>
      </c>
    </row>
    <row r="5" spans="1:23" x14ac:dyDescent="0.35">
      <c r="A5" t="s">
        <v>583</v>
      </c>
      <c r="B5" s="15" t="s">
        <v>584</v>
      </c>
      <c r="C5" s="15" t="s">
        <v>42</v>
      </c>
      <c r="D5" t="s">
        <v>585</v>
      </c>
      <c r="E5" t="s">
        <v>813</v>
      </c>
      <c r="F5" s="20" t="s">
        <v>829</v>
      </c>
    </row>
    <row r="6" spans="1:23" x14ac:dyDescent="0.35">
      <c r="A6" t="s">
        <v>586</v>
      </c>
      <c r="B6" s="15" t="s">
        <v>587</v>
      </c>
      <c r="C6" s="22" t="s">
        <v>826</v>
      </c>
      <c r="D6">
        <v>2230</v>
      </c>
      <c r="E6" t="s">
        <v>814</v>
      </c>
      <c r="F6" s="20" t="s">
        <v>827</v>
      </c>
    </row>
    <row r="7" spans="1:23" x14ac:dyDescent="0.35">
      <c r="A7" t="s">
        <v>588</v>
      </c>
      <c r="B7" s="15" t="s">
        <v>589</v>
      </c>
      <c r="C7" s="15" t="s">
        <v>42</v>
      </c>
      <c r="D7">
        <v>8930</v>
      </c>
      <c r="E7" t="s">
        <v>813</v>
      </c>
      <c r="F7" s="20" t="s">
        <v>829</v>
      </c>
    </row>
    <row r="8" spans="1:23" x14ac:dyDescent="0.35">
      <c r="A8" t="s">
        <v>590</v>
      </c>
      <c r="B8" s="15" t="s">
        <v>591</v>
      </c>
      <c r="C8" s="15" t="s">
        <v>42</v>
      </c>
      <c r="D8">
        <v>4220</v>
      </c>
      <c r="E8" t="s">
        <v>813</v>
      </c>
      <c r="F8" s="20" t="s">
        <v>827</v>
      </c>
    </row>
    <row r="9" spans="1:23" x14ac:dyDescent="0.35">
      <c r="A9" t="s">
        <v>592</v>
      </c>
      <c r="B9" s="15" t="s">
        <v>593</v>
      </c>
      <c r="C9" s="15" t="s">
        <v>42</v>
      </c>
      <c r="D9">
        <v>4450</v>
      </c>
      <c r="E9" t="s">
        <v>813</v>
      </c>
      <c r="F9" s="20" t="s">
        <v>829</v>
      </c>
    </row>
    <row r="10" spans="1:23" x14ac:dyDescent="0.35">
      <c r="A10" t="s">
        <v>58</v>
      </c>
      <c r="B10" s="15" t="s">
        <v>594</v>
      </c>
      <c r="C10" s="15" t="s">
        <v>32</v>
      </c>
      <c r="D10">
        <v>2010</v>
      </c>
      <c r="E10" t="s">
        <v>814</v>
      </c>
      <c r="F10" s="20" t="s">
        <v>828</v>
      </c>
    </row>
    <row r="11" spans="1:23" x14ac:dyDescent="0.35">
      <c r="A11" t="s">
        <v>533</v>
      </c>
      <c r="B11" s="15" t="s">
        <v>595</v>
      </c>
      <c r="C11" s="15" t="s">
        <v>42</v>
      </c>
      <c r="D11">
        <v>6330</v>
      </c>
      <c r="E11" t="s">
        <v>813</v>
      </c>
      <c r="F11" s="20" t="s">
        <v>829</v>
      </c>
    </row>
    <row r="12" spans="1:23" x14ac:dyDescent="0.35">
      <c r="A12" t="s">
        <v>596</v>
      </c>
      <c r="B12" s="15" t="s">
        <v>597</v>
      </c>
      <c r="C12" s="15" t="s">
        <v>42</v>
      </c>
      <c r="D12">
        <v>3970</v>
      </c>
      <c r="E12" t="s">
        <v>813</v>
      </c>
      <c r="F12" s="20" t="s">
        <v>829</v>
      </c>
    </row>
    <row r="13" spans="1:23" x14ac:dyDescent="0.35">
      <c r="A13" t="s">
        <v>219</v>
      </c>
      <c r="B13" s="15" t="s">
        <v>598</v>
      </c>
      <c r="C13" s="22" t="s">
        <v>826</v>
      </c>
      <c r="D13">
        <v>1280</v>
      </c>
      <c r="E13" t="s">
        <v>812</v>
      </c>
      <c r="F13" s="20" t="s">
        <v>828</v>
      </c>
    </row>
    <row r="14" spans="1:23" x14ac:dyDescent="0.35">
      <c r="A14" t="s">
        <v>599</v>
      </c>
      <c r="B14" s="15" t="s">
        <v>600</v>
      </c>
      <c r="C14" s="15" t="s">
        <v>32</v>
      </c>
      <c r="D14">
        <v>2860</v>
      </c>
      <c r="E14" t="s">
        <v>814</v>
      </c>
      <c r="F14" s="20" t="s">
        <v>829</v>
      </c>
    </row>
    <row r="15" spans="1:23" x14ac:dyDescent="0.35">
      <c r="A15" t="s">
        <v>601</v>
      </c>
      <c r="B15" s="15" t="s">
        <v>602</v>
      </c>
      <c r="C15" s="15" t="s">
        <v>42</v>
      </c>
      <c r="D15">
        <v>3200</v>
      </c>
      <c r="E15" t="s">
        <v>814</v>
      </c>
      <c r="F15" s="20" t="s">
        <v>829</v>
      </c>
    </row>
    <row r="16" spans="1:23" x14ac:dyDescent="0.35">
      <c r="A16" t="s">
        <v>603</v>
      </c>
      <c r="B16" s="15" t="s">
        <v>604</v>
      </c>
      <c r="C16" s="15" t="s">
        <v>42</v>
      </c>
      <c r="D16">
        <v>6090</v>
      </c>
      <c r="E16" t="s">
        <v>813</v>
      </c>
      <c r="F16" s="20" t="s">
        <v>829</v>
      </c>
    </row>
    <row r="17" spans="1:6" x14ac:dyDescent="0.35">
      <c r="A17" t="s">
        <v>605</v>
      </c>
      <c r="B17" s="15" t="s">
        <v>606</v>
      </c>
      <c r="C17" s="22" t="s">
        <v>826</v>
      </c>
      <c r="D17">
        <v>6640</v>
      </c>
      <c r="E17" t="s">
        <v>813</v>
      </c>
      <c r="F17" s="20" t="s">
        <v>829</v>
      </c>
    </row>
    <row r="18" spans="1:6" x14ac:dyDescent="0.35">
      <c r="A18" t="s">
        <v>159</v>
      </c>
      <c r="B18" s="15" t="s">
        <v>607</v>
      </c>
      <c r="C18" s="15" t="s">
        <v>42</v>
      </c>
      <c r="D18">
        <v>7850</v>
      </c>
      <c r="E18" t="s">
        <v>813</v>
      </c>
      <c r="F18" s="20" t="s">
        <v>829</v>
      </c>
    </row>
    <row r="19" spans="1:6" x14ac:dyDescent="0.35">
      <c r="A19" t="s">
        <v>608</v>
      </c>
      <c r="B19" s="15" t="s">
        <v>609</v>
      </c>
      <c r="C19" s="15" t="s">
        <v>42</v>
      </c>
      <c r="D19">
        <v>9540</v>
      </c>
      <c r="E19" t="s">
        <v>813</v>
      </c>
      <c r="F19" s="20" t="s">
        <v>829</v>
      </c>
    </row>
    <row r="20" spans="1:6" x14ac:dyDescent="0.35">
      <c r="A20" t="s">
        <v>49</v>
      </c>
      <c r="B20" s="15" t="s">
        <v>610</v>
      </c>
      <c r="C20" s="22" t="s">
        <v>826</v>
      </c>
      <c r="D20">
        <v>790</v>
      </c>
      <c r="E20" t="s">
        <v>812</v>
      </c>
      <c r="F20" s="20" t="s">
        <v>830</v>
      </c>
    </row>
    <row r="21" spans="1:6" x14ac:dyDescent="0.35">
      <c r="A21" t="s">
        <v>222</v>
      </c>
      <c r="B21" s="15" t="s">
        <v>611</v>
      </c>
      <c r="C21" s="22" t="s">
        <v>826</v>
      </c>
      <c r="D21">
        <v>270</v>
      </c>
      <c r="E21" t="s">
        <v>812</v>
      </c>
      <c r="F21" s="20" t="s">
        <v>831</v>
      </c>
    </row>
    <row r="22" spans="1:6" x14ac:dyDescent="0.35">
      <c r="A22" t="s">
        <v>612</v>
      </c>
      <c r="B22" s="15" t="s">
        <v>613</v>
      </c>
      <c r="C22" s="22" t="s">
        <v>826</v>
      </c>
      <c r="D22">
        <v>3060</v>
      </c>
      <c r="E22" t="s">
        <v>814</v>
      </c>
      <c r="F22" s="20" t="s">
        <v>829</v>
      </c>
    </row>
    <row r="23" spans="1:6" x14ac:dyDescent="0.35">
      <c r="A23" t="s">
        <v>614</v>
      </c>
      <c r="B23" s="15" t="s">
        <v>615</v>
      </c>
      <c r="C23" s="15" t="s">
        <v>32</v>
      </c>
      <c r="D23">
        <v>1490</v>
      </c>
      <c r="E23" t="s">
        <v>814</v>
      </c>
      <c r="F23" s="20">
        <v>2014</v>
      </c>
    </row>
    <row r="24" spans="1:6" x14ac:dyDescent="0.35">
      <c r="A24" t="s">
        <v>174</v>
      </c>
      <c r="B24" s="15" t="s">
        <v>616</v>
      </c>
      <c r="C24" s="22" t="s">
        <v>826</v>
      </c>
      <c r="D24">
        <v>1500</v>
      </c>
      <c r="E24" t="s">
        <v>814</v>
      </c>
      <c r="F24" s="20">
        <v>2018</v>
      </c>
    </row>
    <row r="25" spans="1:6" x14ac:dyDescent="0.35">
      <c r="A25" t="s">
        <v>617</v>
      </c>
      <c r="B25" s="15" t="s">
        <v>618</v>
      </c>
      <c r="C25" s="22" t="s">
        <v>826</v>
      </c>
      <c r="D25">
        <v>510</v>
      </c>
      <c r="E25" t="s">
        <v>812</v>
      </c>
      <c r="F25" s="20" t="s">
        <v>829</v>
      </c>
    </row>
    <row r="26" spans="1:6" x14ac:dyDescent="0.35">
      <c r="A26" t="s">
        <v>619</v>
      </c>
      <c r="B26" s="15" t="s">
        <v>620</v>
      </c>
      <c r="C26" s="22" t="s">
        <v>826</v>
      </c>
      <c r="D26">
        <v>660</v>
      </c>
      <c r="E26" t="s">
        <v>812</v>
      </c>
      <c r="F26" s="20" t="s">
        <v>832</v>
      </c>
    </row>
    <row r="27" spans="1:6" x14ac:dyDescent="0.35">
      <c r="A27" t="s">
        <v>131</v>
      </c>
      <c r="B27" s="15" t="s">
        <v>621</v>
      </c>
      <c r="C27" s="15" t="s">
        <v>32</v>
      </c>
      <c r="D27">
        <v>10610</v>
      </c>
      <c r="E27" t="s">
        <v>813</v>
      </c>
      <c r="F27" s="20" t="s">
        <v>829</v>
      </c>
    </row>
    <row r="28" spans="1:6" x14ac:dyDescent="0.35">
      <c r="A28" t="s">
        <v>622</v>
      </c>
      <c r="B28" s="15" t="s">
        <v>623</v>
      </c>
      <c r="C28" s="15" t="s">
        <v>42</v>
      </c>
      <c r="D28">
        <v>5780</v>
      </c>
      <c r="E28" t="s">
        <v>813</v>
      </c>
      <c r="F28" s="20">
        <v>2015</v>
      </c>
    </row>
    <row r="29" spans="1:6" x14ac:dyDescent="0.35">
      <c r="A29" t="s">
        <v>624</v>
      </c>
      <c r="B29" s="15" t="s">
        <v>625</v>
      </c>
      <c r="C29" s="22" t="s">
        <v>826</v>
      </c>
      <c r="D29">
        <v>1450</v>
      </c>
      <c r="E29" t="s">
        <v>814</v>
      </c>
      <c r="F29" s="20">
        <v>2012</v>
      </c>
    </row>
    <row r="30" spans="1:6" x14ac:dyDescent="0.35">
      <c r="A30" t="s">
        <v>626</v>
      </c>
      <c r="B30" s="15" t="s">
        <v>627</v>
      </c>
      <c r="C30" s="22" t="s">
        <v>826</v>
      </c>
      <c r="D30">
        <v>550</v>
      </c>
      <c r="E30" t="s">
        <v>812</v>
      </c>
      <c r="F30" s="20" t="s">
        <v>834</v>
      </c>
    </row>
    <row r="31" spans="1:6" x14ac:dyDescent="0.35">
      <c r="A31" t="s">
        <v>628</v>
      </c>
      <c r="B31" s="15" t="s">
        <v>629</v>
      </c>
      <c r="C31" s="22" t="s">
        <v>826</v>
      </c>
      <c r="D31">
        <v>1830</v>
      </c>
      <c r="E31" t="s">
        <v>814</v>
      </c>
      <c r="F31" s="20" t="s">
        <v>833</v>
      </c>
    </row>
    <row r="32" spans="1:6" x14ac:dyDescent="0.35">
      <c r="A32" t="s">
        <v>630</v>
      </c>
      <c r="B32" s="15" t="s">
        <v>631</v>
      </c>
      <c r="C32" s="15" t="s">
        <v>42</v>
      </c>
      <c r="D32">
        <v>11460</v>
      </c>
      <c r="E32" t="s">
        <v>813</v>
      </c>
      <c r="F32" s="20" t="s">
        <v>829</v>
      </c>
    </row>
    <row r="33" spans="1:6" x14ac:dyDescent="0.35">
      <c r="A33" s="16" t="s">
        <v>808</v>
      </c>
      <c r="B33" s="15" t="s">
        <v>632</v>
      </c>
      <c r="C33" s="22" t="s">
        <v>826</v>
      </c>
      <c r="D33">
        <v>2280</v>
      </c>
      <c r="E33" t="s">
        <v>814</v>
      </c>
      <c r="F33" s="20" t="s">
        <v>833</v>
      </c>
    </row>
    <row r="34" spans="1:6" x14ac:dyDescent="0.35">
      <c r="A34" t="s">
        <v>633</v>
      </c>
      <c r="B34" s="15" t="s">
        <v>634</v>
      </c>
      <c r="C34" s="15" t="s">
        <v>42</v>
      </c>
      <c r="D34" t="s">
        <v>585</v>
      </c>
      <c r="E34" t="s">
        <v>813</v>
      </c>
      <c r="F34" s="20" t="s">
        <v>829</v>
      </c>
    </row>
    <row r="35" spans="1:6" x14ac:dyDescent="0.35">
      <c r="A35" t="s">
        <v>635</v>
      </c>
      <c r="B35" s="15" t="s">
        <v>636</v>
      </c>
      <c r="C35" s="15" t="s">
        <v>42</v>
      </c>
      <c r="D35">
        <v>3320</v>
      </c>
      <c r="E35" t="s">
        <v>814</v>
      </c>
      <c r="F35" s="20" t="s">
        <v>829</v>
      </c>
    </row>
    <row r="36" spans="1:6" x14ac:dyDescent="0.35">
      <c r="A36" t="s">
        <v>637</v>
      </c>
      <c r="B36" s="15" t="s">
        <v>638</v>
      </c>
      <c r="C36" s="15" t="s">
        <v>42</v>
      </c>
      <c r="D36">
        <v>6870</v>
      </c>
      <c r="E36" t="s">
        <v>813</v>
      </c>
      <c r="F36" s="20" t="s">
        <v>829</v>
      </c>
    </row>
    <row r="37" spans="1:6" x14ac:dyDescent="0.35">
      <c r="A37" t="s">
        <v>279</v>
      </c>
      <c r="B37" s="15" t="s">
        <v>639</v>
      </c>
      <c r="C37" s="15" t="s">
        <v>42</v>
      </c>
      <c r="D37">
        <v>7260</v>
      </c>
      <c r="E37" t="s">
        <v>813</v>
      </c>
      <c r="F37" s="20">
        <v>2013</v>
      </c>
    </row>
    <row r="38" spans="1:6" x14ac:dyDescent="0.35">
      <c r="A38" t="s">
        <v>640</v>
      </c>
      <c r="B38" s="15" t="s">
        <v>641</v>
      </c>
      <c r="C38" s="15" t="s">
        <v>42</v>
      </c>
      <c r="D38">
        <v>5530</v>
      </c>
      <c r="E38" t="s">
        <v>813</v>
      </c>
      <c r="F38" s="20" t="s">
        <v>829</v>
      </c>
    </row>
    <row r="39" spans="1:6" x14ac:dyDescent="0.35">
      <c r="A39" s="16" t="s">
        <v>809</v>
      </c>
      <c r="B39" s="15" t="s">
        <v>642</v>
      </c>
      <c r="C39" s="15" t="s">
        <v>42</v>
      </c>
      <c r="D39">
        <v>3000</v>
      </c>
      <c r="E39" t="s">
        <v>814</v>
      </c>
      <c r="F39" s="20">
        <v>2014</v>
      </c>
    </row>
    <row r="40" spans="1:6" x14ac:dyDescent="0.35">
      <c r="A40" t="s">
        <v>643</v>
      </c>
      <c r="B40" s="15" t="s">
        <v>644</v>
      </c>
      <c r="C40" s="15" t="s">
        <v>42</v>
      </c>
      <c r="D40">
        <v>3650</v>
      </c>
      <c r="E40" t="s">
        <v>814</v>
      </c>
      <c r="F40" s="20" t="s">
        <v>829</v>
      </c>
    </row>
    <row r="41" spans="1:6" x14ac:dyDescent="0.35">
      <c r="A41" t="s">
        <v>645</v>
      </c>
      <c r="B41" s="15" t="s">
        <v>646</v>
      </c>
      <c r="C41" s="22" t="s">
        <v>826</v>
      </c>
      <c r="D41">
        <v>5810</v>
      </c>
      <c r="E41" t="s">
        <v>813</v>
      </c>
      <c r="F41" s="20" t="s">
        <v>829</v>
      </c>
    </row>
    <row r="42" spans="1:6" x14ac:dyDescent="0.35">
      <c r="A42" t="s">
        <v>647</v>
      </c>
      <c r="B42" s="15" t="s">
        <v>648</v>
      </c>
      <c r="C42" s="22" t="s">
        <v>826</v>
      </c>
      <c r="D42" t="s">
        <v>585</v>
      </c>
      <c r="E42" t="s">
        <v>812</v>
      </c>
      <c r="F42" s="20" t="s">
        <v>829</v>
      </c>
    </row>
    <row r="43" spans="1:6" x14ac:dyDescent="0.35">
      <c r="A43" t="s">
        <v>84</v>
      </c>
      <c r="B43" s="15" t="s">
        <v>649</v>
      </c>
      <c r="C43" s="22" t="s">
        <v>826</v>
      </c>
      <c r="D43">
        <v>3580</v>
      </c>
      <c r="E43" t="s">
        <v>814</v>
      </c>
      <c r="F43" s="20" t="s">
        <v>829</v>
      </c>
    </row>
    <row r="44" spans="1:6" x14ac:dyDescent="0.35">
      <c r="A44" t="s">
        <v>249</v>
      </c>
      <c r="B44" s="15" t="s">
        <v>650</v>
      </c>
      <c r="C44" s="22" t="s">
        <v>826</v>
      </c>
      <c r="D44">
        <v>890</v>
      </c>
      <c r="E44" t="s">
        <v>812</v>
      </c>
      <c r="F44" s="20">
        <v>2019</v>
      </c>
    </row>
    <row r="45" spans="1:6" x14ac:dyDescent="0.35">
      <c r="A45" t="s">
        <v>63</v>
      </c>
      <c r="B45" s="15" t="s">
        <v>651</v>
      </c>
      <c r="C45" s="15" t="s">
        <v>42</v>
      </c>
      <c r="D45">
        <v>4720</v>
      </c>
      <c r="E45" t="s">
        <v>813</v>
      </c>
      <c r="F45" s="20" t="s">
        <v>829</v>
      </c>
    </row>
    <row r="46" spans="1:6" x14ac:dyDescent="0.35">
      <c r="A46" t="s">
        <v>652</v>
      </c>
      <c r="B46" s="15" t="s">
        <v>653</v>
      </c>
      <c r="C46" s="22" t="s">
        <v>826</v>
      </c>
      <c r="D46">
        <v>6970</v>
      </c>
      <c r="E46" t="s">
        <v>813</v>
      </c>
      <c r="F46" s="20">
        <v>2012</v>
      </c>
    </row>
    <row r="47" spans="1:6" x14ac:dyDescent="0.35">
      <c r="A47" t="s">
        <v>654</v>
      </c>
      <c r="B47" s="15" t="s">
        <v>655</v>
      </c>
      <c r="C47" s="22" t="s">
        <v>826</v>
      </c>
      <c r="D47">
        <v>750</v>
      </c>
      <c r="E47" t="s">
        <v>812</v>
      </c>
      <c r="F47" s="20" t="s">
        <v>835</v>
      </c>
    </row>
    <row r="48" spans="1:6" x14ac:dyDescent="0.35">
      <c r="A48" t="s">
        <v>656</v>
      </c>
      <c r="B48" s="15" t="s">
        <v>657</v>
      </c>
      <c r="C48" s="15" t="s">
        <v>42</v>
      </c>
      <c r="D48">
        <v>4290</v>
      </c>
      <c r="E48" t="s">
        <v>813</v>
      </c>
      <c r="F48" s="20" t="s">
        <v>829</v>
      </c>
    </row>
    <row r="49" spans="1:6" x14ac:dyDescent="0.35">
      <c r="A49" t="s">
        <v>523</v>
      </c>
      <c r="B49" s="15" t="s">
        <v>658</v>
      </c>
      <c r="C49" s="22" t="s">
        <v>826</v>
      </c>
      <c r="D49">
        <v>2230</v>
      </c>
      <c r="E49" t="s">
        <v>814</v>
      </c>
      <c r="F49" s="20">
        <v>2014</v>
      </c>
    </row>
    <row r="50" spans="1:6" x14ac:dyDescent="0.35">
      <c r="A50" t="s">
        <v>659</v>
      </c>
      <c r="B50" s="15" t="s">
        <v>660</v>
      </c>
      <c r="C50" s="15" t="s">
        <v>42</v>
      </c>
      <c r="D50">
        <v>8740</v>
      </c>
      <c r="E50" t="s">
        <v>813</v>
      </c>
      <c r="F50" s="20" t="s">
        <v>829</v>
      </c>
    </row>
    <row r="51" spans="1:6" x14ac:dyDescent="0.35">
      <c r="A51" t="s">
        <v>179</v>
      </c>
      <c r="B51" s="15" t="s">
        <v>661</v>
      </c>
      <c r="C51" s="15" t="s">
        <v>42</v>
      </c>
      <c r="D51">
        <v>4490</v>
      </c>
      <c r="E51" t="s">
        <v>813</v>
      </c>
      <c r="F51" s="20" t="s">
        <v>832</v>
      </c>
    </row>
    <row r="52" spans="1:6" x14ac:dyDescent="0.35">
      <c r="A52" t="s">
        <v>662</v>
      </c>
      <c r="B52" s="15" t="s">
        <v>663</v>
      </c>
      <c r="C52" s="22" t="s">
        <v>826</v>
      </c>
      <c r="D52">
        <v>1020</v>
      </c>
      <c r="E52" t="s">
        <v>812</v>
      </c>
      <c r="F52" s="20">
        <v>2018</v>
      </c>
    </row>
    <row r="53" spans="1:6" x14ac:dyDescent="0.35">
      <c r="A53" t="s">
        <v>664</v>
      </c>
      <c r="B53" s="15" t="s">
        <v>665</v>
      </c>
      <c r="C53" s="22" t="s">
        <v>826</v>
      </c>
      <c r="D53">
        <v>760</v>
      </c>
      <c r="E53" t="s">
        <v>812</v>
      </c>
      <c r="F53" s="20" t="s">
        <v>829</v>
      </c>
    </row>
    <row r="54" spans="1:6" x14ac:dyDescent="0.35">
      <c r="A54" t="s">
        <v>666</v>
      </c>
      <c r="B54" s="15" t="s">
        <v>667</v>
      </c>
      <c r="C54" s="15" t="s">
        <v>42</v>
      </c>
      <c r="D54">
        <v>6600</v>
      </c>
      <c r="E54" t="s">
        <v>813</v>
      </c>
      <c r="F54" s="20" t="s">
        <v>829</v>
      </c>
    </row>
    <row r="55" spans="1:6" x14ac:dyDescent="0.35">
      <c r="A55" t="s">
        <v>668</v>
      </c>
      <c r="B55" s="15" t="s">
        <v>669</v>
      </c>
      <c r="C55" s="15" t="s">
        <v>42</v>
      </c>
      <c r="D55">
        <v>1250</v>
      </c>
      <c r="E55" t="s">
        <v>812</v>
      </c>
      <c r="F55" s="20" t="s">
        <v>831</v>
      </c>
    </row>
    <row r="56" spans="1:6" x14ac:dyDescent="0.35">
      <c r="A56" t="s">
        <v>670</v>
      </c>
      <c r="B56" s="15" t="s">
        <v>671</v>
      </c>
      <c r="C56" s="15" t="s">
        <v>42</v>
      </c>
      <c r="D56">
        <v>2200</v>
      </c>
      <c r="E56" t="s">
        <v>814</v>
      </c>
      <c r="F56" s="20" t="s">
        <v>833</v>
      </c>
    </row>
    <row r="57" spans="1:6" x14ac:dyDescent="0.35">
      <c r="A57" t="s">
        <v>30</v>
      </c>
      <c r="B57" s="15" t="s">
        <v>672</v>
      </c>
      <c r="C57" s="15" t="s">
        <v>32</v>
      </c>
      <c r="D57">
        <v>1900</v>
      </c>
      <c r="E57" t="s">
        <v>814</v>
      </c>
      <c r="F57" s="20" t="s">
        <v>827</v>
      </c>
    </row>
    <row r="58" spans="1:6" x14ac:dyDescent="0.35">
      <c r="A58" t="s">
        <v>37</v>
      </c>
      <c r="B58" s="15" t="s">
        <v>673</v>
      </c>
      <c r="C58" s="15" t="s">
        <v>32</v>
      </c>
      <c r="D58">
        <v>3870</v>
      </c>
      <c r="E58" t="s">
        <v>814</v>
      </c>
      <c r="F58" s="20">
        <v>2017</v>
      </c>
    </row>
    <row r="59" spans="1:6" x14ac:dyDescent="0.35">
      <c r="A59" t="s">
        <v>674</v>
      </c>
      <c r="B59" s="15" t="s">
        <v>675</v>
      </c>
      <c r="C59" s="15" t="s">
        <v>42</v>
      </c>
      <c r="D59">
        <v>2870</v>
      </c>
      <c r="E59" t="s">
        <v>813</v>
      </c>
      <c r="F59" s="20" t="s">
        <v>829</v>
      </c>
    </row>
    <row r="60" spans="1:6" x14ac:dyDescent="0.35">
      <c r="A60" t="s">
        <v>676</v>
      </c>
      <c r="B60" s="15" t="s">
        <v>677</v>
      </c>
      <c r="C60" s="15" t="s">
        <v>42</v>
      </c>
      <c r="D60">
        <v>4660</v>
      </c>
      <c r="E60" t="s">
        <v>813</v>
      </c>
      <c r="F60" s="20" t="s">
        <v>829</v>
      </c>
    </row>
    <row r="61" spans="1:6" x14ac:dyDescent="0.35">
      <c r="A61" t="s">
        <v>678</v>
      </c>
      <c r="B61" s="15" t="s">
        <v>679</v>
      </c>
      <c r="C61" s="15" t="s">
        <v>42</v>
      </c>
      <c r="D61">
        <v>4620</v>
      </c>
      <c r="E61" t="s">
        <v>813</v>
      </c>
      <c r="F61" s="20" t="s">
        <v>829</v>
      </c>
    </row>
    <row r="62" spans="1:6" x14ac:dyDescent="0.35">
      <c r="A62" t="s">
        <v>680</v>
      </c>
      <c r="B62" s="15" t="s">
        <v>681</v>
      </c>
      <c r="C62" s="15" t="s">
        <v>42</v>
      </c>
      <c r="D62">
        <v>4310</v>
      </c>
      <c r="E62" t="s">
        <v>813</v>
      </c>
      <c r="F62" s="20" t="s">
        <v>828</v>
      </c>
    </row>
    <row r="63" spans="1:6" x14ac:dyDescent="0.35">
      <c r="A63" t="s">
        <v>682</v>
      </c>
      <c r="B63" s="15" t="s">
        <v>683</v>
      </c>
      <c r="C63" s="15" t="s">
        <v>42</v>
      </c>
      <c r="D63">
        <v>8680</v>
      </c>
      <c r="E63" t="s">
        <v>813</v>
      </c>
      <c r="F63" s="20" t="s">
        <v>829</v>
      </c>
    </row>
    <row r="64" spans="1:6" x14ac:dyDescent="0.35">
      <c r="A64" t="s">
        <v>68</v>
      </c>
      <c r="B64" s="15" t="s">
        <v>684</v>
      </c>
      <c r="C64" s="22" t="s">
        <v>826</v>
      </c>
      <c r="D64">
        <v>1760</v>
      </c>
      <c r="E64" t="s">
        <v>814</v>
      </c>
      <c r="F64" s="20">
        <v>2014</v>
      </c>
    </row>
    <row r="65" spans="1:23" x14ac:dyDescent="0.35">
      <c r="A65" t="s">
        <v>685</v>
      </c>
      <c r="B65" s="15" t="s">
        <v>686</v>
      </c>
      <c r="C65" s="15" t="s">
        <v>42</v>
      </c>
      <c r="D65">
        <v>3010</v>
      </c>
      <c r="E65" t="s">
        <v>814</v>
      </c>
      <c r="F65" s="20" t="s">
        <v>829</v>
      </c>
    </row>
    <row r="66" spans="1:23" x14ac:dyDescent="0.35">
      <c r="A66" s="17" t="s">
        <v>810</v>
      </c>
      <c r="B66" s="15" t="s">
        <v>687</v>
      </c>
      <c r="C66" s="15" t="s">
        <v>32</v>
      </c>
      <c r="D66" t="s">
        <v>585</v>
      </c>
      <c r="E66" t="s">
        <v>812</v>
      </c>
      <c r="F66" s="20" t="s">
        <v>829</v>
      </c>
    </row>
    <row r="67" spans="1:23" x14ac:dyDescent="0.35">
      <c r="A67" t="s">
        <v>688</v>
      </c>
      <c r="B67" s="15" t="s">
        <v>689</v>
      </c>
      <c r="C67" s="15" t="s">
        <v>42</v>
      </c>
      <c r="D67">
        <v>4440</v>
      </c>
      <c r="E67" t="s">
        <v>813</v>
      </c>
      <c r="F67" s="20" t="s">
        <v>829</v>
      </c>
    </row>
    <row r="68" spans="1:23" x14ac:dyDescent="0.35">
      <c r="A68" t="s">
        <v>690</v>
      </c>
      <c r="B68" s="15" t="s">
        <v>691</v>
      </c>
      <c r="C68" s="15" t="s">
        <v>42</v>
      </c>
      <c r="D68">
        <v>1160</v>
      </c>
      <c r="E68" t="s">
        <v>814</v>
      </c>
      <c r="F68" s="20">
        <v>2013</v>
      </c>
    </row>
    <row r="69" spans="1:23" x14ac:dyDescent="0.35">
      <c r="A69" t="s">
        <v>692</v>
      </c>
      <c r="B69" s="15" t="s">
        <v>693</v>
      </c>
      <c r="C69" s="15" t="s">
        <v>32</v>
      </c>
      <c r="D69">
        <v>2480</v>
      </c>
      <c r="E69" t="s">
        <v>814</v>
      </c>
      <c r="F69" s="20" t="s">
        <v>829</v>
      </c>
    </row>
    <row r="70" spans="1:23" x14ac:dyDescent="0.35">
      <c r="A70" t="s">
        <v>694</v>
      </c>
      <c r="B70" s="15" t="s">
        <v>695</v>
      </c>
      <c r="C70" s="15" t="s">
        <v>42</v>
      </c>
      <c r="D70">
        <v>5510</v>
      </c>
      <c r="E70" t="s">
        <v>813</v>
      </c>
      <c r="F70" s="20" t="s">
        <v>829</v>
      </c>
    </row>
    <row r="71" spans="1:23" x14ac:dyDescent="0.35">
      <c r="A71" t="s">
        <v>696</v>
      </c>
      <c r="B71" s="15" t="s">
        <v>697</v>
      </c>
      <c r="C71" s="22" t="s">
        <v>826</v>
      </c>
      <c r="D71">
        <v>1100</v>
      </c>
      <c r="E71" t="s">
        <v>814</v>
      </c>
      <c r="F71" s="20">
        <v>2014</v>
      </c>
    </row>
    <row r="72" spans="1:23" x14ac:dyDescent="0.35">
      <c r="A72" t="s">
        <v>698</v>
      </c>
      <c r="B72" s="15" t="s">
        <v>699</v>
      </c>
      <c r="C72" s="22" t="s">
        <v>826</v>
      </c>
      <c r="D72">
        <v>530</v>
      </c>
      <c r="E72" t="s">
        <v>812</v>
      </c>
      <c r="F72" s="20" t="s">
        <v>835</v>
      </c>
    </row>
    <row r="73" spans="1:23" x14ac:dyDescent="0.35">
      <c r="A73" t="s">
        <v>700</v>
      </c>
      <c r="B73" s="15" t="s">
        <v>701</v>
      </c>
      <c r="C73" s="15" t="s">
        <v>42</v>
      </c>
      <c r="D73">
        <v>4850</v>
      </c>
      <c r="E73" t="s">
        <v>813</v>
      </c>
      <c r="F73" s="20" t="s">
        <v>829</v>
      </c>
    </row>
    <row r="74" spans="1:23" x14ac:dyDescent="0.35">
      <c r="A74" t="s">
        <v>196</v>
      </c>
      <c r="B74" s="15" t="s">
        <v>702</v>
      </c>
      <c r="C74" s="22" t="s">
        <v>826</v>
      </c>
      <c r="D74">
        <v>480</v>
      </c>
      <c r="E74" t="s">
        <v>812</v>
      </c>
      <c r="F74" s="20" t="s">
        <v>836</v>
      </c>
    </row>
    <row r="75" spans="1:23" x14ac:dyDescent="0.35">
      <c r="A75" t="s">
        <v>242</v>
      </c>
      <c r="B75" s="15" t="s">
        <v>703</v>
      </c>
      <c r="C75" s="22" t="s">
        <v>826</v>
      </c>
      <c r="D75">
        <v>580</v>
      </c>
      <c r="E75" t="s">
        <v>812</v>
      </c>
      <c r="F75" s="20" t="s">
        <v>827</v>
      </c>
    </row>
    <row r="76" spans="1:23" x14ac:dyDescent="0.35">
      <c r="A76" t="s">
        <v>80</v>
      </c>
      <c r="B76" s="15" t="s">
        <v>704</v>
      </c>
      <c r="C76" s="15" t="s">
        <v>32</v>
      </c>
      <c r="D76">
        <v>10580</v>
      </c>
      <c r="E76" t="s">
        <v>813</v>
      </c>
      <c r="F76" s="20" t="s">
        <v>829</v>
      </c>
    </row>
    <row r="77" spans="1:23" x14ac:dyDescent="0.35">
      <c r="A77" t="s">
        <v>705</v>
      </c>
      <c r="B77" s="15" t="s">
        <v>706</v>
      </c>
      <c r="C77" s="15" t="s">
        <v>42</v>
      </c>
      <c r="D77">
        <v>6830</v>
      </c>
      <c r="E77" t="s">
        <v>813</v>
      </c>
      <c r="F77" s="20" t="s">
        <v>831</v>
      </c>
    </row>
    <row r="78" spans="1:23" x14ac:dyDescent="0.35">
      <c r="A78" t="s">
        <v>245</v>
      </c>
      <c r="B78" s="15" t="s">
        <v>707</v>
      </c>
      <c r="C78" s="22" t="s">
        <v>826</v>
      </c>
      <c r="D78">
        <v>830</v>
      </c>
      <c r="E78" t="s">
        <v>812</v>
      </c>
      <c r="F78" s="20">
        <v>2018</v>
      </c>
      <c r="G78" s="26"/>
      <c r="H78" s="26"/>
      <c r="I78" s="26"/>
      <c r="J78" s="26"/>
      <c r="K78" s="26"/>
      <c r="L78" s="26"/>
      <c r="M78" s="26"/>
      <c r="N78" s="26"/>
      <c r="O78" s="26"/>
      <c r="P78" s="26"/>
      <c r="Q78" s="26"/>
      <c r="R78" s="26"/>
      <c r="S78" s="26"/>
      <c r="T78" s="26"/>
      <c r="U78" s="26"/>
      <c r="V78" s="26"/>
      <c r="W78" s="26"/>
    </row>
    <row r="79" spans="1:23" x14ac:dyDescent="0.35">
      <c r="A79" t="s">
        <v>708</v>
      </c>
      <c r="B79" s="15" t="s">
        <v>709</v>
      </c>
      <c r="C79" s="15" t="s">
        <v>42</v>
      </c>
      <c r="D79" t="s">
        <v>585</v>
      </c>
      <c r="E79" t="s">
        <v>813</v>
      </c>
      <c r="F79" s="20" t="s">
        <v>829</v>
      </c>
    </row>
    <row r="80" spans="1:23" x14ac:dyDescent="0.35">
      <c r="A80" t="s">
        <v>710</v>
      </c>
      <c r="B80" s="15" t="s">
        <v>711</v>
      </c>
      <c r="C80" s="22" t="s">
        <v>826</v>
      </c>
      <c r="D80">
        <v>1640</v>
      </c>
      <c r="E80" t="s">
        <v>814</v>
      </c>
      <c r="F80" s="20" t="s">
        <v>837</v>
      </c>
    </row>
    <row r="81" spans="1:6" x14ac:dyDescent="0.35">
      <c r="A81" t="s">
        <v>712</v>
      </c>
      <c r="B81" s="15" t="s">
        <v>713</v>
      </c>
      <c r="C81" s="15" t="s">
        <v>42</v>
      </c>
      <c r="D81">
        <v>10230</v>
      </c>
      <c r="E81" t="s">
        <v>813</v>
      </c>
      <c r="F81" s="20" t="s">
        <v>829</v>
      </c>
    </row>
    <row r="82" spans="1:6" x14ac:dyDescent="0.35">
      <c r="A82" t="s">
        <v>156</v>
      </c>
      <c r="B82" s="15" t="s">
        <v>714</v>
      </c>
      <c r="C82" s="15" t="s">
        <v>42</v>
      </c>
      <c r="D82">
        <v>8480</v>
      </c>
      <c r="E82" t="s">
        <v>813</v>
      </c>
      <c r="F82" s="20" t="s">
        <v>829</v>
      </c>
    </row>
    <row r="83" spans="1:6" x14ac:dyDescent="0.35">
      <c r="A83" t="s">
        <v>715</v>
      </c>
      <c r="B83" s="15" t="s">
        <v>716</v>
      </c>
      <c r="C83" s="15" t="s">
        <v>42</v>
      </c>
      <c r="D83" t="s">
        <v>585</v>
      </c>
      <c r="E83" t="s">
        <v>814</v>
      </c>
      <c r="F83" s="20" t="s">
        <v>829</v>
      </c>
    </row>
    <row r="84" spans="1:6" x14ac:dyDescent="0.35">
      <c r="A84" t="s">
        <v>231</v>
      </c>
      <c r="B84" s="15" t="s">
        <v>717</v>
      </c>
      <c r="C84" s="15" t="s">
        <v>42</v>
      </c>
      <c r="D84">
        <v>4570</v>
      </c>
      <c r="E84" t="s">
        <v>814</v>
      </c>
      <c r="F84" s="20" t="s">
        <v>829</v>
      </c>
    </row>
    <row r="85" spans="1:6" x14ac:dyDescent="0.35">
      <c r="A85" t="s">
        <v>718</v>
      </c>
      <c r="B85" s="15" t="s">
        <v>719</v>
      </c>
      <c r="C85" s="15" t="s">
        <v>32</v>
      </c>
      <c r="D85">
        <v>3670</v>
      </c>
      <c r="E85" t="s">
        <v>814</v>
      </c>
      <c r="F85" s="20" t="s">
        <v>829</v>
      </c>
    </row>
    <row r="86" spans="1:6" x14ac:dyDescent="0.35">
      <c r="A86" t="s">
        <v>720</v>
      </c>
      <c r="B86" s="15" t="s">
        <v>721</v>
      </c>
      <c r="C86" s="15" t="s">
        <v>42</v>
      </c>
      <c r="D86">
        <v>7900</v>
      </c>
      <c r="E86" t="s">
        <v>813</v>
      </c>
      <c r="F86" s="20" t="s">
        <v>829</v>
      </c>
    </row>
    <row r="87" spans="1:6" x14ac:dyDescent="0.35">
      <c r="A87" t="s">
        <v>722</v>
      </c>
      <c r="B87" s="15" t="s">
        <v>723</v>
      </c>
      <c r="C87" s="15" t="s">
        <v>42</v>
      </c>
      <c r="D87">
        <v>2980</v>
      </c>
      <c r="E87" t="s">
        <v>814</v>
      </c>
      <c r="F87" s="20" t="s">
        <v>829</v>
      </c>
    </row>
    <row r="88" spans="1:6" x14ac:dyDescent="0.35">
      <c r="A88" t="s">
        <v>204</v>
      </c>
      <c r="B88" s="15" t="s">
        <v>724</v>
      </c>
      <c r="C88" s="22" t="s">
        <v>826</v>
      </c>
      <c r="D88">
        <v>460</v>
      </c>
      <c r="E88" t="s">
        <v>812</v>
      </c>
      <c r="F88" s="20">
        <v>2011</v>
      </c>
    </row>
    <row r="89" spans="1:6" x14ac:dyDescent="0.35">
      <c r="A89" t="s">
        <v>725</v>
      </c>
      <c r="B89" s="15" t="s">
        <v>726</v>
      </c>
      <c r="C89" s="15" t="s">
        <v>32</v>
      </c>
      <c r="D89">
        <v>1260</v>
      </c>
      <c r="E89" t="s">
        <v>814</v>
      </c>
      <c r="F89" s="20" t="s">
        <v>827</v>
      </c>
    </row>
    <row r="90" spans="1:6" x14ac:dyDescent="0.35">
      <c r="A90" t="s">
        <v>275</v>
      </c>
      <c r="B90" s="15" t="s">
        <v>727</v>
      </c>
      <c r="C90" s="22" t="s">
        <v>826</v>
      </c>
      <c r="D90">
        <v>4520</v>
      </c>
      <c r="E90" t="s">
        <v>813</v>
      </c>
      <c r="F90" s="20">
        <v>2013</v>
      </c>
    </row>
    <row r="91" spans="1:6" x14ac:dyDescent="0.35">
      <c r="A91" t="s">
        <v>728</v>
      </c>
      <c r="B91" s="15" t="s">
        <v>729</v>
      </c>
      <c r="C91" s="15" t="s">
        <v>42</v>
      </c>
      <c r="D91" t="s">
        <v>585</v>
      </c>
      <c r="E91" t="s">
        <v>813</v>
      </c>
      <c r="F91" s="20" t="s">
        <v>829</v>
      </c>
    </row>
    <row r="92" spans="1:6" x14ac:dyDescent="0.35">
      <c r="A92" t="s">
        <v>184</v>
      </c>
      <c r="B92" s="15" t="s">
        <v>730</v>
      </c>
      <c r="C92" s="15" t="s">
        <v>32</v>
      </c>
      <c r="D92">
        <v>1190</v>
      </c>
      <c r="E92" t="s">
        <v>812</v>
      </c>
      <c r="F92" s="20">
        <v>2016</v>
      </c>
    </row>
    <row r="93" spans="1:6" x14ac:dyDescent="0.35">
      <c r="A93" t="s">
        <v>154</v>
      </c>
      <c r="B93" s="15" t="s">
        <v>731</v>
      </c>
      <c r="C93" s="15" t="s">
        <v>42</v>
      </c>
      <c r="D93">
        <v>1850</v>
      </c>
      <c r="E93" t="s">
        <v>814</v>
      </c>
      <c r="F93" s="20" t="s">
        <v>829</v>
      </c>
    </row>
    <row r="94" spans="1:6" x14ac:dyDescent="0.35">
      <c r="A94" t="s">
        <v>732</v>
      </c>
      <c r="B94" s="15" t="s">
        <v>733</v>
      </c>
      <c r="C94" s="22" t="s">
        <v>826</v>
      </c>
      <c r="D94">
        <v>540</v>
      </c>
      <c r="E94" t="s">
        <v>812</v>
      </c>
      <c r="F94" s="20">
        <v>2012</v>
      </c>
    </row>
    <row r="95" spans="1:6" x14ac:dyDescent="0.35">
      <c r="A95" t="s">
        <v>77</v>
      </c>
      <c r="B95" s="15" t="s">
        <v>734</v>
      </c>
      <c r="C95" s="22" t="s">
        <v>826</v>
      </c>
      <c r="D95">
        <v>2000</v>
      </c>
      <c r="E95" t="s">
        <v>814</v>
      </c>
      <c r="F95" s="20">
        <v>2018</v>
      </c>
    </row>
    <row r="96" spans="1:6" x14ac:dyDescent="0.35">
      <c r="A96" t="s">
        <v>735</v>
      </c>
      <c r="B96" s="15" t="s">
        <v>736</v>
      </c>
      <c r="C96" s="15" t="s">
        <v>42</v>
      </c>
      <c r="D96">
        <v>5720</v>
      </c>
      <c r="E96" t="s">
        <v>813</v>
      </c>
      <c r="F96" s="20" t="s">
        <v>829</v>
      </c>
    </row>
    <row r="97" spans="1:23" x14ac:dyDescent="0.35">
      <c r="A97" t="s">
        <v>737</v>
      </c>
      <c r="B97" s="15" t="s">
        <v>738</v>
      </c>
      <c r="C97" s="15" t="s">
        <v>32</v>
      </c>
      <c r="D97">
        <v>1280</v>
      </c>
      <c r="E97" t="s">
        <v>814</v>
      </c>
      <c r="F97" s="20" t="s">
        <v>828</v>
      </c>
    </row>
    <row r="98" spans="1:23" x14ac:dyDescent="0.35">
      <c r="A98" t="s">
        <v>739</v>
      </c>
      <c r="B98" s="15" t="s">
        <v>740</v>
      </c>
      <c r="C98" s="15" t="s">
        <v>42</v>
      </c>
      <c r="D98">
        <v>2660</v>
      </c>
      <c r="E98" t="s">
        <v>814</v>
      </c>
      <c r="F98" s="20" t="s">
        <v>838</v>
      </c>
    </row>
    <row r="99" spans="1:23" x14ac:dyDescent="0.35">
      <c r="A99" t="s">
        <v>741</v>
      </c>
      <c r="B99" s="15" t="s">
        <v>742</v>
      </c>
      <c r="C99" s="15" t="s">
        <v>42</v>
      </c>
      <c r="D99">
        <v>5140</v>
      </c>
      <c r="E99" t="s">
        <v>813</v>
      </c>
      <c r="F99" s="20" t="s">
        <v>829</v>
      </c>
    </row>
    <row r="100" spans="1:23" x14ac:dyDescent="0.35">
      <c r="A100" t="s">
        <v>113</v>
      </c>
      <c r="B100" s="15" t="s">
        <v>743</v>
      </c>
      <c r="C100" s="15" t="s">
        <v>42</v>
      </c>
      <c r="D100">
        <v>6010</v>
      </c>
      <c r="E100" t="s">
        <v>813</v>
      </c>
      <c r="F100" s="20">
        <v>2012</v>
      </c>
    </row>
    <row r="101" spans="1:23" x14ac:dyDescent="0.35">
      <c r="A101" t="s">
        <v>238</v>
      </c>
      <c r="B101" s="15" t="s">
        <v>744</v>
      </c>
      <c r="C101" s="15" t="s">
        <v>32</v>
      </c>
      <c r="D101">
        <v>3430</v>
      </c>
      <c r="E101" t="s">
        <v>814</v>
      </c>
      <c r="F101" s="20">
        <v>2017</v>
      </c>
    </row>
    <row r="102" spans="1:23" x14ac:dyDescent="0.35">
      <c r="A102" t="s">
        <v>745</v>
      </c>
      <c r="B102" s="15" t="s">
        <v>746</v>
      </c>
      <c r="C102" s="15" t="s">
        <v>42</v>
      </c>
      <c r="D102">
        <v>12570</v>
      </c>
      <c r="E102" t="s">
        <v>813</v>
      </c>
      <c r="F102" s="20" t="s">
        <v>829</v>
      </c>
    </row>
    <row r="103" spans="1:23" x14ac:dyDescent="0.35">
      <c r="A103" t="s">
        <v>747</v>
      </c>
      <c r="B103" s="15" t="s">
        <v>748</v>
      </c>
      <c r="C103" s="15" t="s">
        <v>42</v>
      </c>
      <c r="D103">
        <v>10690</v>
      </c>
      <c r="E103" t="s">
        <v>813</v>
      </c>
      <c r="F103" s="20" t="s">
        <v>829</v>
      </c>
    </row>
    <row r="104" spans="1:23" x14ac:dyDescent="0.35">
      <c r="A104" t="s">
        <v>223</v>
      </c>
      <c r="B104" s="15" t="s">
        <v>749</v>
      </c>
      <c r="C104" s="22" t="s">
        <v>826</v>
      </c>
      <c r="D104">
        <v>780</v>
      </c>
      <c r="E104" t="s">
        <v>812</v>
      </c>
      <c r="F104" s="20" t="s">
        <v>835</v>
      </c>
      <c r="G104" s="26"/>
      <c r="H104" s="26"/>
      <c r="I104" s="26"/>
      <c r="J104" s="26"/>
      <c r="K104" s="26"/>
      <c r="L104" s="26"/>
      <c r="M104" s="26"/>
      <c r="N104" s="26"/>
      <c r="O104" s="26"/>
      <c r="P104" s="26"/>
      <c r="Q104" s="26"/>
      <c r="R104" s="26"/>
      <c r="S104" s="26"/>
      <c r="T104" s="26"/>
      <c r="U104" s="26"/>
      <c r="V104" s="26"/>
      <c r="W104" s="26"/>
    </row>
    <row r="105" spans="1:23" x14ac:dyDescent="0.35">
      <c r="A105" t="s">
        <v>750</v>
      </c>
      <c r="B105" s="15" t="s">
        <v>751</v>
      </c>
      <c r="C105" s="15" t="s">
        <v>42</v>
      </c>
      <c r="D105">
        <v>4070</v>
      </c>
      <c r="E105" t="s">
        <v>813</v>
      </c>
      <c r="F105" s="20" t="s">
        <v>829</v>
      </c>
    </row>
    <row r="106" spans="1:23" x14ac:dyDescent="0.35">
      <c r="A106" s="16" t="s">
        <v>811</v>
      </c>
      <c r="B106" s="15" t="s">
        <v>752</v>
      </c>
      <c r="C106" s="22" t="s">
        <v>826</v>
      </c>
      <c r="D106">
        <v>2070</v>
      </c>
      <c r="E106" t="s">
        <v>814</v>
      </c>
      <c r="F106" s="20" t="s">
        <v>829</v>
      </c>
    </row>
    <row r="107" spans="1:23" x14ac:dyDescent="0.35">
      <c r="A107" t="s">
        <v>753</v>
      </c>
      <c r="B107" s="15" t="s">
        <v>754</v>
      </c>
      <c r="C107" s="22" t="s">
        <v>826</v>
      </c>
      <c r="D107">
        <v>1430</v>
      </c>
      <c r="E107" t="s">
        <v>814</v>
      </c>
      <c r="F107" s="20">
        <v>2019</v>
      </c>
    </row>
    <row r="108" spans="1:23" x14ac:dyDescent="0.35">
      <c r="A108" t="s">
        <v>755</v>
      </c>
      <c r="B108" s="15" t="s">
        <v>756</v>
      </c>
      <c r="C108" s="15" t="s">
        <v>42</v>
      </c>
      <c r="D108">
        <v>7400</v>
      </c>
      <c r="E108" t="s">
        <v>813</v>
      </c>
      <c r="F108" s="20" t="s">
        <v>829</v>
      </c>
    </row>
    <row r="109" spans="1:23" x14ac:dyDescent="0.35">
      <c r="A109" t="s">
        <v>125</v>
      </c>
      <c r="B109" s="15" t="s">
        <v>757</v>
      </c>
      <c r="C109" s="22" t="s">
        <v>826</v>
      </c>
      <c r="D109">
        <v>490</v>
      </c>
      <c r="E109" t="s">
        <v>812</v>
      </c>
      <c r="F109" s="20">
        <v>2019</v>
      </c>
    </row>
    <row r="110" spans="1:23" x14ac:dyDescent="0.35">
      <c r="A110" t="s">
        <v>758</v>
      </c>
      <c r="B110" s="15" t="s">
        <v>759</v>
      </c>
      <c r="C110" s="15" t="s">
        <v>42</v>
      </c>
      <c r="D110">
        <v>2300</v>
      </c>
      <c r="E110" t="s">
        <v>814</v>
      </c>
      <c r="F110" s="20" t="s">
        <v>829</v>
      </c>
    </row>
    <row r="111" spans="1:23" x14ac:dyDescent="0.35">
      <c r="A111" t="s">
        <v>760</v>
      </c>
      <c r="B111" s="15" t="s">
        <v>761</v>
      </c>
      <c r="C111" s="22" t="s">
        <v>826</v>
      </c>
      <c r="D111">
        <v>310</v>
      </c>
      <c r="E111" t="s">
        <v>812</v>
      </c>
      <c r="F111" s="20" t="s">
        <v>829</v>
      </c>
    </row>
    <row r="112" spans="1:23" x14ac:dyDescent="0.35">
      <c r="A112" t="s">
        <v>120</v>
      </c>
      <c r="B112" s="15" t="s">
        <v>762</v>
      </c>
      <c r="C112" s="22" t="s">
        <v>826</v>
      </c>
      <c r="D112">
        <v>5410</v>
      </c>
      <c r="E112" t="s">
        <v>813</v>
      </c>
      <c r="F112" s="20">
        <v>2016</v>
      </c>
    </row>
    <row r="113" spans="1:23" x14ac:dyDescent="0.35">
      <c r="A113" t="s">
        <v>763</v>
      </c>
      <c r="B113" s="15" t="s">
        <v>764</v>
      </c>
      <c r="C113" s="22" t="s">
        <v>826</v>
      </c>
      <c r="D113" t="s">
        <v>585</v>
      </c>
      <c r="E113" t="s">
        <v>812</v>
      </c>
      <c r="F113" s="20" t="s">
        <v>829</v>
      </c>
    </row>
    <row r="114" spans="1:23" x14ac:dyDescent="0.35">
      <c r="A114" t="s">
        <v>148</v>
      </c>
      <c r="B114" s="15" t="s">
        <v>765</v>
      </c>
      <c r="C114" s="15" t="s">
        <v>32</v>
      </c>
      <c r="D114">
        <v>3720</v>
      </c>
      <c r="E114" t="s">
        <v>813</v>
      </c>
      <c r="F114" s="20" t="s">
        <v>829</v>
      </c>
    </row>
    <row r="115" spans="1:23" x14ac:dyDescent="0.35">
      <c r="A115" t="s">
        <v>766</v>
      </c>
      <c r="B115" s="15" t="s">
        <v>767</v>
      </c>
      <c r="C115" s="15" t="s">
        <v>42</v>
      </c>
      <c r="D115">
        <v>8790</v>
      </c>
      <c r="E115" t="s">
        <v>813</v>
      </c>
      <c r="F115" s="20" t="s">
        <v>829</v>
      </c>
    </row>
    <row r="116" spans="1:23" x14ac:dyDescent="0.35">
      <c r="A116" t="s">
        <v>768</v>
      </c>
      <c r="B116" s="15" t="s">
        <v>769</v>
      </c>
      <c r="C116" s="15" t="s">
        <v>42</v>
      </c>
      <c r="D116">
        <v>7340</v>
      </c>
      <c r="E116" t="s">
        <v>813</v>
      </c>
      <c r="F116" s="20" t="s">
        <v>829</v>
      </c>
    </row>
    <row r="117" spans="1:23" x14ac:dyDescent="0.35">
      <c r="A117" t="s">
        <v>770</v>
      </c>
      <c r="B117" s="15" t="s">
        <v>771</v>
      </c>
      <c r="C117" s="22" t="s">
        <v>826</v>
      </c>
      <c r="D117">
        <v>650</v>
      </c>
      <c r="E117" t="s">
        <v>814</v>
      </c>
      <c r="F117" s="20" t="s">
        <v>829</v>
      </c>
    </row>
    <row r="118" spans="1:23" x14ac:dyDescent="0.35">
      <c r="A118" t="s">
        <v>772</v>
      </c>
      <c r="B118" s="15" t="s">
        <v>773</v>
      </c>
      <c r="C118" s="15" t="s">
        <v>42</v>
      </c>
      <c r="D118">
        <v>5510</v>
      </c>
      <c r="E118" t="s">
        <v>813</v>
      </c>
      <c r="F118" s="20" t="s">
        <v>829</v>
      </c>
    </row>
    <row r="119" spans="1:23" x14ac:dyDescent="0.35">
      <c r="A119" t="s">
        <v>774</v>
      </c>
      <c r="B119" s="15" t="s">
        <v>775</v>
      </c>
      <c r="C119" s="15" t="s">
        <v>42</v>
      </c>
      <c r="D119" t="s">
        <v>585</v>
      </c>
      <c r="E119" t="s">
        <v>812</v>
      </c>
      <c r="F119" s="20" t="s">
        <v>829</v>
      </c>
    </row>
    <row r="120" spans="1:23" x14ac:dyDescent="0.35">
      <c r="A120" t="s">
        <v>776</v>
      </c>
      <c r="B120" s="15" t="s">
        <v>777</v>
      </c>
      <c r="C120" s="15" t="s">
        <v>42</v>
      </c>
      <c r="D120">
        <v>1060</v>
      </c>
      <c r="E120" t="s">
        <v>812</v>
      </c>
      <c r="F120" s="20">
        <v>2017</v>
      </c>
    </row>
    <row r="121" spans="1:23" s="26" customFormat="1" x14ac:dyDescent="0.35">
      <c r="A121" s="26" t="s">
        <v>100</v>
      </c>
      <c r="B121" s="27" t="s">
        <v>778</v>
      </c>
      <c r="C121" s="26" t="s">
        <v>826</v>
      </c>
      <c r="D121" s="26">
        <v>1080</v>
      </c>
      <c r="E121" s="26" t="s">
        <v>812</v>
      </c>
      <c r="F121" s="28" t="s">
        <v>827</v>
      </c>
      <c r="G121"/>
      <c r="H121"/>
      <c r="I121"/>
      <c r="J121"/>
      <c r="K121"/>
      <c r="L121"/>
      <c r="M121"/>
      <c r="N121"/>
      <c r="O121"/>
      <c r="P121"/>
      <c r="Q121"/>
      <c r="R121"/>
      <c r="S121"/>
      <c r="T121"/>
      <c r="U121"/>
      <c r="V121"/>
      <c r="W121"/>
    </row>
    <row r="122" spans="1:23" x14ac:dyDescent="0.35">
      <c r="A122" t="s">
        <v>43</v>
      </c>
      <c r="B122" s="15" t="s">
        <v>779</v>
      </c>
      <c r="C122" s="15" t="s">
        <v>32</v>
      </c>
      <c r="D122">
        <v>7050</v>
      </c>
      <c r="E122" t="s">
        <v>813</v>
      </c>
      <c r="F122" s="20" t="s">
        <v>829</v>
      </c>
    </row>
    <row r="123" spans="1:23" x14ac:dyDescent="0.35">
      <c r="A123" t="s">
        <v>780</v>
      </c>
      <c r="B123" s="15" t="s">
        <v>781</v>
      </c>
      <c r="C123" s="15" t="s">
        <v>32</v>
      </c>
      <c r="D123">
        <v>1830</v>
      </c>
      <c r="E123" t="s">
        <v>814</v>
      </c>
      <c r="F123" s="20">
        <v>2016</v>
      </c>
    </row>
    <row r="124" spans="1:23" s="26" customFormat="1" x14ac:dyDescent="0.35">
      <c r="A124" s="26" t="s">
        <v>210</v>
      </c>
      <c r="B124" s="27" t="s">
        <v>782</v>
      </c>
      <c r="C124" s="26" t="s">
        <v>826</v>
      </c>
      <c r="D124" s="26">
        <v>920</v>
      </c>
      <c r="E124" s="26" t="s">
        <v>812</v>
      </c>
      <c r="F124" s="28" t="s">
        <v>834</v>
      </c>
      <c r="G124"/>
      <c r="H124"/>
      <c r="I124"/>
      <c r="J124"/>
      <c r="K124"/>
      <c r="L124"/>
      <c r="M124"/>
      <c r="N124"/>
      <c r="O124"/>
      <c r="P124"/>
      <c r="Q124"/>
      <c r="R124"/>
      <c r="S124"/>
      <c r="T124"/>
      <c r="U124"/>
      <c r="V124"/>
      <c r="W124"/>
    </row>
    <row r="125" spans="1:23" x14ac:dyDescent="0.35">
      <c r="A125" t="s">
        <v>783</v>
      </c>
      <c r="B125" s="15" t="s">
        <v>784</v>
      </c>
      <c r="C125" s="15" t="s">
        <v>42</v>
      </c>
      <c r="D125" t="s">
        <v>585</v>
      </c>
      <c r="E125" t="s">
        <v>813</v>
      </c>
      <c r="F125" s="20" t="s">
        <v>829</v>
      </c>
    </row>
    <row r="126" spans="1:23" x14ac:dyDescent="0.35">
      <c r="A126" t="s">
        <v>839</v>
      </c>
      <c r="B126" s="15"/>
      <c r="C126" s="15" t="s">
        <v>42</v>
      </c>
      <c r="F126" s="20" t="s">
        <v>829</v>
      </c>
    </row>
    <row r="127" spans="1:23" x14ac:dyDescent="0.35">
      <c r="A127" t="s">
        <v>785</v>
      </c>
      <c r="B127" s="15" t="s">
        <v>786</v>
      </c>
      <c r="C127" s="15" t="s">
        <v>42</v>
      </c>
      <c r="D127">
        <v>3100</v>
      </c>
      <c r="E127" t="s">
        <v>814</v>
      </c>
      <c r="F127" s="20" t="s">
        <v>829</v>
      </c>
    </row>
    <row r="128" spans="1:23" x14ac:dyDescent="0.35">
      <c r="A128" t="s">
        <v>214</v>
      </c>
      <c r="B128" s="15" t="s">
        <v>787</v>
      </c>
      <c r="C128" s="15" t="s">
        <v>42</v>
      </c>
      <c r="D128">
        <v>9050</v>
      </c>
      <c r="E128" t="s">
        <v>813</v>
      </c>
      <c r="F128" s="20">
        <v>2013</v>
      </c>
    </row>
    <row r="129" spans="1:6" x14ac:dyDescent="0.35">
      <c r="A129" t="s">
        <v>788</v>
      </c>
      <c r="B129" s="15" t="s">
        <v>789</v>
      </c>
      <c r="C129" s="15" t="s">
        <v>42</v>
      </c>
      <c r="D129" t="s">
        <v>585</v>
      </c>
      <c r="E129" t="s">
        <v>813</v>
      </c>
      <c r="F129" s="20" t="s">
        <v>829</v>
      </c>
    </row>
    <row r="130" spans="1:6" x14ac:dyDescent="0.35">
      <c r="A130" t="s">
        <v>790</v>
      </c>
      <c r="B130" s="15" t="s">
        <v>791</v>
      </c>
      <c r="C130" s="15" t="s">
        <v>42</v>
      </c>
      <c r="D130">
        <v>5820</v>
      </c>
      <c r="E130" t="s">
        <v>813</v>
      </c>
      <c r="F130" s="20" t="s">
        <v>829</v>
      </c>
    </row>
    <row r="131" spans="1:6" x14ac:dyDescent="0.35">
      <c r="A131" t="s">
        <v>20</v>
      </c>
      <c r="B131" s="15" t="s">
        <v>792</v>
      </c>
      <c r="C131" s="22" t="s">
        <v>826</v>
      </c>
      <c r="D131">
        <v>800</v>
      </c>
      <c r="E131" t="s">
        <v>812</v>
      </c>
      <c r="F131" s="20">
        <v>2016</v>
      </c>
    </row>
    <row r="132" spans="1:6" x14ac:dyDescent="0.35">
      <c r="A132" t="s">
        <v>287</v>
      </c>
      <c r="B132" s="15" t="s">
        <v>793</v>
      </c>
      <c r="C132" s="15" t="s">
        <v>42</v>
      </c>
      <c r="D132">
        <v>3540</v>
      </c>
      <c r="E132" t="s">
        <v>814</v>
      </c>
      <c r="F132" s="20" t="s">
        <v>829</v>
      </c>
    </row>
    <row r="133" spans="1:6" x14ac:dyDescent="0.35">
      <c r="A133" t="s">
        <v>794</v>
      </c>
      <c r="B133" s="15" t="s">
        <v>795</v>
      </c>
      <c r="C133" s="15" t="s">
        <v>42</v>
      </c>
      <c r="D133">
        <v>1670</v>
      </c>
      <c r="E133" t="s">
        <v>814</v>
      </c>
      <c r="F133" s="20" t="s">
        <v>829</v>
      </c>
    </row>
    <row r="134" spans="1:6" x14ac:dyDescent="0.35">
      <c r="A134" t="s">
        <v>796</v>
      </c>
      <c r="B134" s="15" t="s">
        <v>797</v>
      </c>
      <c r="C134" s="15" t="s">
        <v>42</v>
      </c>
      <c r="D134">
        <v>2780</v>
      </c>
      <c r="E134" t="s">
        <v>814</v>
      </c>
      <c r="F134" s="20" t="s">
        <v>829</v>
      </c>
    </row>
    <row r="135" spans="1:6" x14ac:dyDescent="0.35">
      <c r="A135" t="s">
        <v>798</v>
      </c>
      <c r="B135" s="15" t="s">
        <v>799</v>
      </c>
      <c r="C135" s="15" t="s">
        <v>42</v>
      </c>
      <c r="D135" t="s">
        <v>585</v>
      </c>
      <c r="E135" t="s">
        <v>813</v>
      </c>
      <c r="F135" s="20" t="s">
        <v>829</v>
      </c>
    </row>
    <row r="136" spans="1:6" x14ac:dyDescent="0.35">
      <c r="A136" t="s">
        <v>136</v>
      </c>
      <c r="B136" s="15" t="s">
        <v>800</v>
      </c>
      <c r="C136" s="15" t="s">
        <v>32</v>
      </c>
      <c r="D136">
        <v>2660</v>
      </c>
      <c r="E136" t="s">
        <v>814</v>
      </c>
      <c r="F136" s="20" t="s">
        <v>829</v>
      </c>
    </row>
    <row r="137" spans="1:6" x14ac:dyDescent="0.35">
      <c r="A137" t="s">
        <v>801</v>
      </c>
      <c r="B137" s="15" t="s">
        <v>802</v>
      </c>
      <c r="C137" s="15" t="s">
        <v>42</v>
      </c>
      <c r="D137">
        <v>3710</v>
      </c>
      <c r="E137" t="s">
        <v>814</v>
      </c>
      <c r="F137" s="20" t="s">
        <v>829</v>
      </c>
    </row>
    <row r="138" spans="1:6" x14ac:dyDescent="0.35">
      <c r="A138" t="s">
        <v>803</v>
      </c>
      <c r="B138" s="15" t="s">
        <v>804</v>
      </c>
      <c r="C138" s="15" t="s">
        <v>42</v>
      </c>
      <c r="D138" t="s">
        <v>585</v>
      </c>
      <c r="E138" t="s">
        <v>812</v>
      </c>
      <c r="F138" s="20">
        <v>2013</v>
      </c>
    </row>
    <row r="139" spans="1:6" x14ac:dyDescent="0.35">
      <c r="A139" t="s">
        <v>190</v>
      </c>
      <c r="B139" s="15" t="s">
        <v>805</v>
      </c>
      <c r="C139" s="22" t="s">
        <v>826</v>
      </c>
      <c r="D139">
        <v>1190</v>
      </c>
      <c r="E139" t="s">
        <v>814</v>
      </c>
      <c r="F139" s="20">
        <v>2018</v>
      </c>
    </row>
    <row r="140" spans="1:6" x14ac:dyDescent="0.35">
      <c r="A140" t="s">
        <v>256</v>
      </c>
      <c r="B140" s="15" t="s">
        <v>806</v>
      </c>
      <c r="C140" s="22" t="s">
        <v>826</v>
      </c>
      <c r="D140">
        <v>1090</v>
      </c>
      <c r="E140" t="s">
        <v>814</v>
      </c>
      <c r="F140" s="20">
        <v>2015</v>
      </c>
    </row>
  </sheetData>
  <autoFilter ref="A1:F140" xr:uid="{DC5C234E-83FF-4703-A70E-8D5588D92D10}"/>
  <sortState xmlns:xlrd2="http://schemas.microsoft.com/office/spreadsheetml/2017/richdata2" ref="A2:W143">
    <sortCondition ref="A2:A143"/>
  </sortState>
  <pageMargins left="0.7" right="0.7" top="0.75" bottom="0.75" header="0.3" footer="0.3"/>
  <pageSetup orientation="portrait" horizontalDpi="0"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6C3B59EE1AD744699E9F18A25F3FB37" ma:contentTypeVersion="16" ma:contentTypeDescription="Create a new document." ma:contentTypeScope="" ma:versionID="df4a78458fd97984f57b80821f3f3214">
  <xsd:schema xmlns:xsd="http://www.w3.org/2001/XMLSchema" xmlns:xs="http://www.w3.org/2001/XMLSchema" xmlns:p="http://schemas.microsoft.com/office/2006/metadata/properties" xmlns:ns2="fb391ddb-c575-4624-9c3e-249cdc514b7d" xmlns:ns3="0edad930-d539-4efb-8caa-212520c0b01f" targetNamespace="http://schemas.microsoft.com/office/2006/metadata/properties" ma:root="true" ma:fieldsID="b0e3d7ff54b49603817cc0eaeae13f7c" ns2:_="" ns3:_="">
    <xsd:import namespace="fb391ddb-c575-4624-9c3e-249cdc514b7d"/>
    <xsd:import namespace="0edad930-d539-4efb-8caa-212520c0b01f"/>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MediaServiceLocation" minOccurs="0"/>
                <xsd:element ref="ns2:MediaLengthInSecond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b391ddb-c575-4624-9c3e-249cdc514b7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021274bc-f60e-43e3-8007-8359870f1b27"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0edad930-d539-4efb-8caa-212520c0b01f"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e0f00a4f-5894-4cbb-bd6d-50cb3a5c2fdf}" ma:internalName="TaxCatchAll" ma:showField="CatchAllData" ma:web="0edad930-d539-4efb-8caa-212520c0b01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62F8692-4226-4E1D-B0DB-2F9AF43105FD}"/>
</file>

<file path=customXml/itemProps2.xml><?xml version="1.0" encoding="utf-8"?>
<ds:datastoreItem xmlns:ds="http://schemas.openxmlformats.org/officeDocument/2006/customXml" ds:itemID="{47CD6720-6A71-497C-A754-20B350E21734}"/>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Cover</vt:lpstr>
      <vt:lpstr>Guide</vt:lpstr>
      <vt:lpstr>Estimate reach</vt:lpstr>
      <vt:lpstr>Estimate budget</vt:lpstr>
      <vt:lpstr>Review</vt:lpstr>
      <vt:lpstr>ranges</vt:lpstr>
      <vt:lpstr>Median costs</vt:lpstr>
      <vt:lpstr>dataset</vt:lpstr>
      <vt:lpstr>country list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Avenir Health</dc:creator>
  <cp:lastModifiedBy>Nicole Bellows</cp:lastModifiedBy>
  <dcterms:created xsi:type="dcterms:W3CDTF">2021-12-16T19:46:49Z</dcterms:created>
  <dcterms:modified xsi:type="dcterms:W3CDTF">2022-09-13T14:50:21Z</dcterms:modified>
</cp:coreProperties>
</file>